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INAL" sheetId="1" r:id="rId1"/>
    <sheet name="Sheet1" sheetId="2" r:id="rId2"/>
  </sheets>
  <definedNames>
    <definedName name="BRANT" localSheetId="0">'FINAL'!$A$32</definedName>
    <definedName name="BRANT">#REF!</definedName>
    <definedName name="BRANT_TOTALS" localSheetId="0">'FINAL'!$B$56:$V$56</definedName>
    <definedName name="BRANT_TOTALS">#REF!</definedName>
    <definedName name="BROUGH" localSheetId="0">'FINAL'!#REF!</definedName>
    <definedName name="BROUGH">#REF!</definedName>
    <definedName name="BROUGH_TOTALS" localSheetId="0">'FINAL'!#REF!</definedName>
    <definedName name="BROUGH_TOTALS">#REF!</definedName>
    <definedName name="DELAWARE" localSheetId="0">'FINAL'!$A$79</definedName>
    <definedName name="DELAWARE">#REF!</definedName>
    <definedName name="DELAWARE_TOTALS" localSheetId="0">'FINAL'!$B$98:$V$98</definedName>
    <definedName name="DELAWARE_TOTALS">#REF!</definedName>
    <definedName name="ESSEX" localSheetId="0">'FINAL'!$A$119</definedName>
    <definedName name="ESSEX">#REF!</definedName>
    <definedName name="ESSEX_TOTALS" localSheetId="0">'FINAL'!$B$147:$U$147</definedName>
    <definedName name="ESSEX_TOTALS">#REF!</definedName>
    <definedName name="HEADING" localSheetId="0">'FINAL'!$B$5:$V$10</definedName>
    <definedName name="HEADING">#REF!</definedName>
    <definedName name="KENT_TOTALS" localSheetId="0">'FINAL'!$B$233:$U$233</definedName>
    <definedName name="KENT_TOTALS">#REF!</definedName>
    <definedName name="LAMBTON_TOTALS" localSheetId="0">'FINAL'!$B$276:$U$276</definedName>
    <definedName name="LAMBTON_TOTALS">#REF!</definedName>
    <definedName name="MEDWAY_TOTALS" localSheetId="0">'FINAL'!$B$327:$U$327</definedName>
    <definedName name="MEDWAY_TOTALS">#REF!</definedName>
    <definedName name="N_SAUGEEN_T" localSheetId="0">'FINAL'!$B$415:$U$415</definedName>
    <definedName name="N_SAUGEEN_T">#REF!</definedName>
    <definedName name="NORFOLK_TOTALS" localSheetId="0">'FINAL'!#REF!</definedName>
    <definedName name="NORFOLK_TOTALS">#REF!</definedName>
    <definedName name="NOTES" localSheetId="0">'FINAL'!$A$22:$L$25</definedName>
    <definedName name="NOTES">#REF!</definedName>
    <definedName name="OXFORD_TOTALS" localSheetId="0">'FINAL'!$B$370:$U$370</definedName>
    <definedName name="OXFORD_TOTALS">#REF!</definedName>
    <definedName name="PERTH_TOTALS" localSheetId="0">'FINAL'!#REF!</definedName>
    <definedName name="PERTH_TOTALS">#REF!</definedName>
    <definedName name="_xlnm.Print_Area" localSheetId="0">'FINAL'!$A$2:$V$512</definedName>
    <definedName name="PRINT_AREA_MI" localSheetId="0">'FINAL'!$A$28:$V$513</definedName>
    <definedName name="PRINT_AREA_MI">#REF!</definedName>
    <definedName name="_xlnm.Print_Titles" localSheetId="0">'FINAL'!$1:$1</definedName>
    <definedName name="PRINT_TITLES_MI" localSheetId="0">'FINAL'!$1:$1</definedName>
    <definedName name="PRINT_TITLES_MI">#REF!</definedName>
    <definedName name="S_SAUGEEN_T" localSheetId="0">'FINAL'!$B$461:$U$461</definedName>
    <definedName name="S_SAUGEEN_T">#REF!</definedName>
    <definedName name="SUMMARY" localSheetId="0">'FINAL'!$A$479</definedName>
    <definedName name="SUMMARY">#REF!</definedName>
    <definedName name="WATERLOO_TOTALS" localSheetId="0">'FINAL'!$B$457:$U$457</definedName>
    <definedName name="WATERLOO_TOTALS">#REF!</definedName>
    <definedName name="WELLINGTON_TO" localSheetId="0">'FINAL'!#REF!</definedName>
    <definedName name="WELLINGTON_TO">#REF!</definedName>
  </definedNames>
  <calcPr fullCalcOnLoad="1"/>
</workbook>
</file>

<file path=xl/sharedStrings.xml><?xml version="1.0" encoding="utf-8"?>
<sst xmlns="http://schemas.openxmlformats.org/spreadsheetml/2006/main" count="3418" uniqueCount="580">
  <si>
    <t>DIOCESE OF HURON</t>
  </si>
  <si>
    <t>DEANERY OF ?</t>
  </si>
  <si>
    <t>|</t>
  </si>
  <si>
    <t>-</t>
  </si>
  <si>
    <t>DEDUCTIONS</t>
  </si>
  <si>
    <t>------ASSESSABLE BASIS------</t>
  </si>
  <si>
    <t>---RATE----</t>
  </si>
  <si>
    <t>APPORTIONMENT</t>
  </si>
  <si>
    <t>Basis of</t>
  </si>
  <si>
    <t>Total</t>
  </si>
  <si>
    <t>Cap.Loans</t>
  </si>
  <si>
    <t>25% of</t>
  </si>
  <si>
    <t>Appor'mt</t>
  </si>
  <si>
    <t>%</t>
  </si>
  <si>
    <t>Expenses</t>
  </si>
  <si>
    <t>Operating</t>
  </si>
  <si>
    <t>Rentals</t>
  </si>
  <si>
    <t>50% of</t>
  </si>
  <si>
    <t>Repayment</t>
  </si>
  <si>
    <t>Cap. Ln.</t>
  </si>
  <si>
    <t>Adjusted</t>
  </si>
  <si>
    <t>as per</t>
  </si>
  <si>
    <t>Rate of</t>
  </si>
  <si>
    <t>10%</t>
  </si>
  <si>
    <t>NOTE: RATE - ADJUST</t>
  </si>
  <si>
    <t>Paid by</t>
  </si>
  <si>
    <t>Paid</t>
  </si>
  <si>
    <t>Int. &amp; Cap</t>
  </si>
  <si>
    <t>Repay'mt</t>
  </si>
  <si>
    <t>Deductions</t>
  </si>
  <si>
    <t>Canon 28</t>
  </si>
  <si>
    <t xml:space="preserve">TOTAL </t>
  </si>
  <si>
    <t xml:space="preserve">         CELL Q10</t>
  </si>
  <si>
    <t>Organiz.</t>
  </si>
  <si>
    <t>(Note 1)</t>
  </si>
  <si>
    <t>(A)</t>
  </si>
  <si>
    <t>(B)</t>
  </si>
  <si>
    <t>(C)</t>
  </si>
  <si>
    <t>(D)</t>
  </si>
  <si>
    <t>(E)</t>
  </si>
  <si>
    <t>(A+C+E)</t>
  </si>
  <si>
    <t>(Note 2)</t>
  </si>
  <si>
    <t>OBJECTIVE</t>
  </si>
  <si>
    <t>NOTE:Adjustments</t>
  </si>
  <si>
    <t>As Above</t>
  </si>
  <si>
    <t>A3 - Title Year</t>
  </si>
  <si>
    <t>C5 - Expense Columns</t>
  </si>
  <si>
    <t>S5 - Apportionment Year</t>
  </si>
  <si>
    <t>TOTALS</t>
  </si>
  <si>
    <t>(Note 3)</t>
  </si>
  <si>
    <t>DEANERY OF BRANT/NORFOLK</t>
  </si>
  <si>
    <t>Brantford, Grace</t>
  </si>
  <si>
    <t xml:space="preserve"> </t>
  </si>
  <si>
    <t>Brantford, St. James</t>
  </si>
  <si>
    <t>Burford, Holy Trinity</t>
  </si>
  <si>
    <t>Paris, St. James</t>
  </si>
  <si>
    <t>Port Dover, St. Paul's</t>
  </si>
  <si>
    <t>Port Rowan, St. John's</t>
  </si>
  <si>
    <t>St. George, Holy Trinity</t>
  </si>
  <si>
    <t>Simcoe, Trinity</t>
  </si>
  <si>
    <t>Waterford, Trinity</t>
  </si>
  <si>
    <t>NOTES:</t>
  </si>
  <si>
    <t xml:space="preserve">3.  Rate of Apportionment is determined by dividing total of all Deanery Basis </t>
  </si>
  <si>
    <t>2.  Formula from Canon 28 for determining Basis of Apportionment</t>
  </si>
  <si>
    <t>Adjusted Operating Expense</t>
  </si>
  <si>
    <t>Basis of Apportionment</t>
  </si>
  <si>
    <t>*  No Financial return submitted.  Operating expense of previous year</t>
  </si>
  <si>
    <t xml:space="preserve">   increased by 10% as per Canon 28 3.(f)</t>
  </si>
  <si>
    <t>Up to $2,000 ..................</t>
  </si>
  <si>
    <t>40% of adjusted Operating Expense.</t>
  </si>
  <si>
    <t>Between $2,000 and $3,000 ..................</t>
  </si>
  <si>
    <t>$800 plus 60% of adjusted Operating Expense in excess of $2,000.</t>
  </si>
  <si>
    <t>Between $3,000 and $4,000 ....................</t>
  </si>
  <si>
    <t>$1,400 plus 80% of adjusted Operating Expense in excess of $3,000.</t>
  </si>
  <si>
    <t xml:space="preserve">Over $4,000 ..................................... </t>
  </si>
  <si>
    <t>$2,200 plus 90% of adjusted Operating Expense in excess of $4,000.</t>
  </si>
  <si>
    <t>London, St. John the Evangelist</t>
  </si>
  <si>
    <t>London, St. Jude's</t>
  </si>
  <si>
    <t>London, St. Luke's</t>
  </si>
  <si>
    <t>London, St. Paul's Cathedral</t>
  </si>
  <si>
    <t>DEANERY OF DELAWARE</t>
  </si>
  <si>
    <t>Aylmer, Trinity</t>
  </si>
  <si>
    <t>Glencoe, St. John's</t>
  </si>
  <si>
    <t>London, Epiphany</t>
  </si>
  <si>
    <t>London, St. James' Westminster</t>
  </si>
  <si>
    <t>London, St. Michael &amp; All Angels</t>
  </si>
  <si>
    <t>London, Trinity Lambeth</t>
  </si>
  <si>
    <t>Muncey, St. Andrew's</t>
  </si>
  <si>
    <t xml:space="preserve">  Oneida, Zion</t>
  </si>
  <si>
    <t>Port Stanley, Christ Church</t>
  </si>
  <si>
    <t>St. Thomas, St. Hilda's-St. Luke's</t>
  </si>
  <si>
    <t>St. Thomas, St. John's</t>
  </si>
  <si>
    <t>Tyrconnell, St. Peter's</t>
  </si>
  <si>
    <t>DEANERY OF ESSEX</t>
  </si>
  <si>
    <t>Amherstburg, Christ</t>
  </si>
  <si>
    <t>Colchester,Christ</t>
  </si>
  <si>
    <t>Essex, St. Paul's</t>
  </si>
  <si>
    <t>Kingsville, Epiphany</t>
  </si>
  <si>
    <t>LaSalle, St. Andrew's</t>
  </si>
  <si>
    <t>Leamington, St. John The Evang.</t>
  </si>
  <si>
    <t>Oldcastle, St. Stephen's</t>
  </si>
  <si>
    <t xml:space="preserve">  Colchester N., Redeemer</t>
  </si>
  <si>
    <t>Pelee Island, St. Mary/Calvary</t>
  </si>
  <si>
    <t>Windsor, All Saints</t>
  </si>
  <si>
    <t>Windsor, Ascension</t>
  </si>
  <si>
    <t>*</t>
  </si>
  <si>
    <t>Windsor, St. James</t>
  </si>
  <si>
    <t>Windsor, St. John's</t>
  </si>
  <si>
    <t>Windsor, St. Mary's</t>
  </si>
  <si>
    <t>Windsor, St. Matthew's</t>
  </si>
  <si>
    <t>Bayfield, Trinity</t>
  </si>
  <si>
    <t>Brussels, St. John's</t>
  </si>
  <si>
    <t>Exeter, Trivitt Memorial</t>
  </si>
  <si>
    <t>Goderich, St. George's</t>
  </si>
  <si>
    <t>Wingham,St. Paul's-Trinity</t>
  </si>
  <si>
    <t>DEANERY OF KENT</t>
  </si>
  <si>
    <t>Blenheim, Trinity</t>
  </si>
  <si>
    <t>Chatham, Christ Church</t>
  </si>
  <si>
    <t>Moraviantown, St. Peter's</t>
  </si>
  <si>
    <t>Wallaceburg, St. James The Apostle</t>
  </si>
  <si>
    <t>Walpole Island, St. John the Baptist</t>
  </si>
  <si>
    <t>DEANERY OF LAMBTON</t>
  </si>
  <si>
    <t>Bright's Grove, St. John's</t>
  </si>
  <si>
    <t>Forest, Christ Church</t>
  </si>
  <si>
    <t>Petrolia, Christ Church</t>
  </si>
  <si>
    <t>Point Edward, St. Paul's</t>
  </si>
  <si>
    <t>Port Lambton, St. James</t>
  </si>
  <si>
    <t>Sarnia, Canon Davis Memorial</t>
  </si>
  <si>
    <t>Sarnia, St. Bartholomew's</t>
  </si>
  <si>
    <t>Sarnia, Trinity</t>
  </si>
  <si>
    <t>Watford, Trinity</t>
  </si>
  <si>
    <t>London, Transfiguration</t>
  </si>
  <si>
    <t>London, St. Aidan's</t>
  </si>
  <si>
    <t>London, (Byron) St. Anne's</t>
  </si>
  <si>
    <t>London, St. George's</t>
  </si>
  <si>
    <t>Lucan, Holy Trinity</t>
  </si>
  <si>
    <t>Parkhill, St. James</t>
  </si>
  <si>
    <t>Strathroy, St. John the Evang.</t>
  </si>
  <si>
    <t>DEANERY OF OXFORD</t>
  </si>
  <si>
    <t>Delhi, St. Alban's</t>
  </si>
  <si>
    <t>Oxford Centre, Christ</t>
  </si>
  <si>
    <t>Tillsonburg, St. John's</t>
  </si>
  <si>
    <t>Woodstock, Old St. Paul's</t>
  </si>
  <si>
    <t>St. Mary's, St. James</t>
  </si>
  <si>
    <t>Stratford, St. James</t>
  </si>
  <si>
    <t>Stratford, St. Paul's</t>
  </si>
  <si>
    <t>DEANERY OF SAUGEENS</t>
  </si>
  <si>
    <t>Kincardine, Messiah</t>
  </si>
  <si>
    <t>Markdale, Christ</t>
  </si>
  <si>
    <t>Meaford, Christ</t>
  </si>
  <si>
    <t>Southampton, St. Paul's</t>
  </si>
  <si>
    <t>Walkerton, St. Thomas</t>
  </si>
  <si>
    <t>DEANERY OF WATERLOO</t>
  </si>
  <si>
    <t>Cambridge, St. James</t>
  </si>
  <si>
    <t>Cambridge, St. John's</t>
  </si>
  <si>
    <t>Cambridge, St. Luke's</t>
  </si>
  <si>
    <t>Cambridge, Trinity</t>
  </si>
  <si>
    <t>Kitchener, Holy Trinity</t>
  </si>
  <si>
    <t>Kitchener, St. Andrew Memorial</t>
  </si>
  <si>
    <t>Kitchener, St. George's</t>
  </si>
  <si>
    <t>Kitchener, St. John the Evangelist</t>
  </si>
  <si>
    <t>New Hamburg, St. George's</t>
  </si>
  <si>
    <t>Waterloo, Holy Saviour</t>
  </si>
  <si>
    <t>Waterloo, St. Columba's</t>
  </si>
  <si>
    <t>Dorchester, St. Peter's</t>
  </si>
  <si>
    <t>London, All Saints</t>
  </si>
  <si>
    <t>London, St. Andrew Memorial</t>
  </si>
  <si>
    <t>London, St. Mark's</t>
  </si>
  <si>
    <t>SUMMARY OF DEANERIES</t>
  </si>
  <si>
    <t>BRANT/NORFOLK</t>
  </si>
  <si>
    <t>DELAWARE</t>
  </si>
  <si>
    <t>ESSEX</t>
  </si>
  <si>
    <t>KENT</t>
  </si>
  <si>
    <t>LAMBTON</t>
  </si>
  <si>
    <t>OXFORD</t>
  </si>
  <si>
    <t>SAUGEENS</t>
  </si>
  <si>
    <t>WATERLOO</t>
  </si>
  <si>
    <t>SUNDRY DONATIONS</t>
  </si>
  <si>
    <t>TOTALS FOR DEANERIES</t>
  </si>
  <si>
    <t>=</t>
  </si>
  <si>
    <t>Target Apportionment</t>
  </si>
  <si>
    <t>Ingersoll, St. James'</t>
  </si>
  <si>
    <t>Extra</t>
  </si>
  <si>
    <t>Mile</t>
  </si>
  <si>
    <t>Apportionment</t>
  </si>
  <si>
    <t>------------------------</t>
  </si>
  <si>
    <t>---------------------</t>
  </si>
  <si>
    <t>1.  From Green Financial Return reported from Parish</t>
  </si>
  <si>
    <t xml:space="preserve">     of Apportionment into the total Diocesan Budget</t>
  </si>
  <si>
    <t xml:space="preserve">3.  Rate of Apportionment is determined by dividing total Basis of Apport for all Deaneries </t>
  </si>
  <si>
    <t xml:space="preserve">    Thamesford, St. John's </t>
  </si>
  <si>
    <t>Stratford, St. Stephen's</t>
  </si>
  <si>
    <t>Woodstock, Church of the Epiphany</t>
  </si>
  <si>
    <t xml:space="preserve">      Mt. Brydges, St. Jude's </t>
  </si>
  <si>
    <t xml:space="preserve">    Harrow, St. Andrew's</t>
  </si>
  <si>
    <t xml:space="preserve">    Blyth, Trinity</t>
  </si>
  <si>
    <t xml:space="preserve">    Seaforth, St Thomas</t>
  </si>
  <si>
    <t xml:space="preserve">    Grand Bend, St. John's</t>
  </si>
  <si>
    <t xml:space="preserve">    Port Albert, Christ</t>
  </si>
  <si>
    <t xml:space="preserve">    Erieau, St. Pauls</t>
  </si>
  <si>
    <t>Parish of the Transfiguration</t>
  </si>
  <si>
    <t xml:space="preserve">     Dresden, Christ Church</t>
  </si>
  <si>
    <t xml:space="preserve">     Highgate, Redeemer</t>
  </si>
  <si>
    <t xml:space="preserve">     Ridgetown, Advent</t>
  </si>
  <si>
    <t xml:space="preserve">     Aughrim, St. John's</t>
  </si>
  <si>
    <t xml:space="preserve">     Florence, St. Matthew's</t>
  </si>
  <si>
    <t xml:space="preserve">    Kerwood, St. Paul's</t>
  </si>
  <si>
    <t xml:space="preserve">    Eastwood, St. John's</t>
  </si>
  <si>
    <t xml:space="preserve">    Princeton, St. Paul's</t>
  </si>
  <si>
    <t xml:space="preserve">    Durham, Trinity</t>
  </si>
  <si>
    <t xml:space="preserve">    Pine River, St. Luke's</t>
  </si>
  <si>
    <t xml:space="preserve">    Kingarf, St. Matthew's</t>
  </si>
  <si>
    <t xml:space="preserve">    Fairmount, St. James</t>
  </si>
  <si>
    <t xml:space="preserve">    Port Elgin, St. John's</t>
  </si>
  <si>
    <t xml:space="preserve">    Ayr, Christ Church</t>
  </si>
  <si>
    <t>Assistant</t>
  </si>
  <si>
    <t>Curate</t>
  </si>
  <si>
    <t xml:space="preserve">   Simcoe, St. John's (Woodhouse)</t>
  </si>
  <si>
    <t xml:space="preserve">   Port Ryerse, Memorial</t>
  </si>
  <si>
    <t>Thorndale, St. George's-on-the-Wye</t>
  </si>
  <si>
    <t xml:space="preserve">    West Lorne, Grace</t>
  </si>
  <si>
    <t xml:space="preserve">   Cottam, Trinity</t>
  </si>
  <si>
    <t>London, St. Martin-in-the Fields</t>
  </si>
  <si>
    <t>Brantford, St. Mark's</t>
  </si>
  <si>
    <t xml:space="preserve">     by the Diocesan target apportionment: = 3,347,203/ 14,585,551 = 22.95%</t>
  </si>
  <si>
    <t>Wiarton, Trinity</t>
  </si>
  <si>
    <t>Lion's Head, Christ</t>
  </si>
  <si>
    <t>Tobermory, St. Edmund</t>
  </si>
  <si>
    <t>Sarnia, All Saints</t>
  </si>
  <si>
    <t>London, Church of the Ascension</t>
  </si>
  <si>
    <t>Mt. Pleasant, All Saints</t>
  </si>
  <si>
    <t>Windsor, St. Augustine of Canterbury</t>
  </si>
  <si>
    <t xml:space="preserve">  Port Burwell, Trinity</t>
  </si>
  <si>
    <t>Comber, Ascension</t>
  </si>
  <si>
    <t>Cambridge, St. Thomas</t>
  </si>
  <si>
    <t>DEANERY OF LONDON</t>
  </si>
  <si>
    <t>Middlesex Ctr., St. George's</t>
  </si>
  <si>
    <t>London (Arva), St. John the Divine</t>
  </si>
  <si>
    <t>LONDON</t>
  </si>
  <si>
    <t>HURON/PERTH</t>
  </si>
  <si>
    <t>DEANERY OF HURON/PERTH</t>
  </si>
  <si>
    <t>Parish of New Beginnings</t>
  </si>
  <si>
    <t>Kinlough, Ascension</t>
  </si>
  <si>
    <t>Windsor, St. David's &amp; St. Mark's</t>
  </si>
  <si>
    <t xml:space="preserve">    Tara, Christ, St. Paul's, Chatsworth</t>
  </si>
  <si>
    <t>Six Nations,  St. Luke's</t>
  </si>
  <si>
    <t>Six Nations, St. Paul's</t>
  </si>
  <si>
    <t>Six Nations, St. Peters</t>
  </si>
  <si>
    <t>Blue Mountains, St. George's</t>
  </si>
  <si>
    <t>London, St. Stephen's/Holy Trinity</t>
  </si>
  <si>
    <t>Tecumseh, St. Mark's</t>
  </si>
  <si>
    <t xml:space="preserve">    Palmerston, St. Paul's </t>
  </si>
  <si>
    <t xml:space="preserve">  </t>
  </si>
  <si>
    <t>Durham, Trinity</t>
  </si>
  <si>
    <t>London, Ascension</t>
  </si>
  <si>
    <t>London, St. Anne's (Byron)</t>
  </si>
  <si>
    <t>London, St. Luke's Broughdale</t>
  </si>
  <si>
    <t>London, St. Martin-in-the-Fields</t>
  </si>
  <si>
    <t>London, Holy Trinity St. Stephen's Memorial</t>
  </si>
  <si>
    <t>London, Trinity (Lambeth)</t>
  </si>
  <si>
    <t>Middlesex Centre, St. George's</t>
  </si>
  <si>
    <t>St. James', Brantford</t>
  </si>
  <si>
    <t>Trinity Anglican Church, Waterford</t>
  </si>
  <si>
    <t>Holy Trinity, St. George</t>
  </si>
  <si>
    <t>All Saints', Mount Pleasant</t>
  </si>
  <si>
    <t>St. James, Paris</t>
  </si>
  <si>
    <t>St. John's Anglican, Port Rowan</t>
  </si>
  <si>
    <t>Memorial Church, Port Ryerse</t>
  </si>
  <si>
    <t>St. Johns, Woodhouse</t>
  </si>
  <si>
    <t>Holy Trinity, Burford</t>
  </si>
  <si>
    <t>St. Mark's, Brantford</t>
  </si>
  <si>
    <t>Grace Church, Brantford</t>
  </si>
  <si>
    <t>Trinity, Simcoe</t>
  </si>
  <si>
    <t>St. Paul's Anglican Church, Port Dover Ontario</t>
  </si>
  <si>
    <t>St. Hilda's - St. Luke's, St. Thomas</t>
  </si>
  <si>
    <t>St Jude's Anglican Church, Mt. Brydges</t>
  </si>
  <si>
    <t>Grace Church, West Lorne</t>
  </si>
  <si>
    <t>Trinity Anglican Church Aylmer, 170 John St. N.,  N5H 2A9</t>
  </si>
  <si>
    <t>Trinity, Port Burwell</t>
  </si>
  <si>
    <t>St ANdrew's Muncey</t>
  </si>
  <si>
    <t>St. Peter's Church, Tyrconnell</t>
  </si>
  <si>
    <t>St. John's, St. Thomas</t>
  </si>
  <si>
    <t>St. John's, Glencoe</t>
  </si>
  <si>
    <t>Christ Church,  Port Stanley</t>
  </si>
  <si>
    <t>Trinity, Cottam</t>
  </si>
  <si>
    <t>St. Paul, Essex</t>
  </si>
  <si>
    <t>Church of the Epiphany, Kingsville</t>
  </si>
  <si>
    <t>Parish of St. Mary's/Calvary, Peelee Island</t>
  </si>
  <si>
    <t>St. Mary's, Windsor</t>
  </si>
  <si>
    <t>St. John's (Sandwich), Windsor</t>
  </si>
  <si>
    <t>St. James Roseland, Windsor</t>
  </si>
  <si>
    <t>St. David and St. Mark, WINDSOR</t>
  </si>
  <si>
    <t>St. Augustine of Canterbury, Windsor</t>
  </si>
  <si>
    <t>St. Matthew's, Windsor</t>
  </si>
  <si>
    <t>St. John the Evangelist, Leamington</t>
  </si>
  <si>
    <t>Church of the Redeemer, Colchester North</t>
  </si>
  <si>
    <t>St. Andrew's, Harrow</t>
  </si>
  <si>
    <t>Christ Church, Colchester</t>
  </si>
  <si>
    <t>St. Andrew's, LaSalle</t>
  </si>
  <si>
    <t>St. Stephen's, Oldcastle</t>
  </si>
  <si>
    <t>Christ Church, Amherstburg</t>
  </si>
  <si>
    <t>All Saints, Windsor</t>
  </si>
  <si>
    <t>Church of the Ascension, Windsor</t>
  </si>
  <si>
    <t>St. Mark's-by-the-Lake, Tecumseh</t>
  </si>
  <si>
    <t>St. Thomas the Apostle, Cambridge</t>
  </si>
  <si>
    <t>St. George's of Forest Hill, Kitchener</t>
  </si>
  <si>
    <t>St. Andrew's Memorial, Kitchener</t>
  </si>
  <si>
    <t>St Columba, Waterloo</t>
  </si>
  <si>
    <t>St. George's New Hamburg</t>
  </si>
  <si>
    <t>Christ Church, Ayr</t>
  </si>
  <si>
    <t>Holy Trinity, Kitchener</t>
  </si>
  <si>
    <t>Trinity Cambridge</t>
  </si>
  <si>
    <t>St John the Evangelist-Kitchener, ON</t>
  </si>
  <si>
    <t>Saint John's, Cambridge</t>
  </si>
  <si>
    <t>Church of the Holy Saviour,  Waterloo</t>
  </si>
  <si>
    <t>St. James, Cambridge</t>
  </si>
  <si>
    <t>All Saints', Waterloo</t>
  </si>
  <si>
    <t>St. George's, The Blue Mountains</t>
  </si>
  <si>
    <t>Christ Church, Meaford</t>
  </si>
  <si>
    <t>Christ Church, Tara &amp; St. Paul's Chatsworth</t>
  </si>
  <si>
    <t>St. Paul's, Southampton</t>
  </si>
  <si>
    <t>Trinity Church, Durham</t>
  </si>
  <si>
    <t>St. John's, Port Elgin</t>
  </si>
  <si>
    <t>Christ Church, Markdale</t>
  </si>
  <si>
    <t>Church of the Ascension, Kinlough</t>
  </si>
  <si>
    <t>St. Luke's, Pine River</t>
  </si>
  <si>
    <t>The Church of St. Edmund, Tobermory</t>
  </si>
  <si>
    <t>Christ Church, Lion's Head</t>
  </si>
  <si>
    <t>Trinity Anglican Church, Wiarton</t>
  </si>
  <si>
    <t>St. George's, Owen Sound</t>
  </si>
  <si>
    <t>St. Matthew's, Kingarf</t>
  </si>
  <si>
    <t>St. James, Fairmount</t>
  </si>
  <si>
    <t>St. Thomas Church, Walkerton</t>
  </si>
  <si>
    <t>St. John's, Tillsonburg</t>
  </si>
  <si>
    <t>Christ Church, Oxford Centre</t>
  </si>
  <si>
    <t>St. Paul's, Princeton</t>
  </si>
  <si>
    <t>St. James, Ingersoll</t>
  </si>
  <si>
    <t>Church of the Epiphany, Woodstock</t>
  </si>
  <si>
    <t>St. Alban the Martyr, Delhi</t>
  </si>
  <si>
    <t>St. Peter's, Dorchester</t>
  </si>
  <si>
    <t>Old St. Paul's, Woodstock</t>
  </si>
  <si>
    <t>St. John's, Eastwood</t>
  </si>
  <si>
    <t>Christ Church Huntingford East Zorra Tavistock</t>
  </si>
  <si>
    <t>St. John in the Wilderness, Bright's Grove</t>
  </si>
  <si>
    <t>St. Paul's, Point Edward</t>
  </si>
  <si>
    <t>Canon Davis Memorial Church, Sarnia</t>
  </si>
  <si>
    <t>Trinity Church - Sarnia</t>
  </si>
  <si>
    <t>St. John the Evangelist Church, Strathroy</t>
  </si>
  <si>
    <t>St. Bartholomew, Sarnia</t>
  </si>
  <si>
    <t>All Saints' Anglican Church, Sarnia</t>
  </si>
  <si>
    <t>Christ Church, Forest</t>
  </si>
  <si>
    <t>St. James, Parkhill</t>
  </si>
  <si>
    <t>St. John the Baptist, Walpole Island</t>
  </si>
  <si>
    <t>Christ Church, Petrolia</t>
  </si>
  <si>
    <t>St. James the Apostle - Wallaceburg</t>
  </si>
  <si>
    <t>St. James,  Port Lambton</t>
  </si>
  <si>
    <t>Church of the Ascension, Comber</t>
  </si>
  <si>
    <t>St Matthew's, Florence</t>
  </si>
  <si>
    <t>Christ Church, Dresden</t>
  </si>
  <si>
    <t>St. John's-in-the-Woods, Aughrim</t>
  </si>
  <si>
    <t>Christ Church Chatham</t>
  </si>
  <si>
    <t>Church of the Redeemer, Highgate</t>
  </si>
  <si>
    <t>Trinity Church, Blenheim</t>
  </si>
  <si>
    <t>St, Paul's, Erieau</t>
  </si>
  <si>
    <t>Holy Trinity &amp; St. Paul's, Chatham</t>
  </si>
  <si>
    <t>Church of the Advent, Ridgetown</t>
  </si>
  <si>
    <t>St. Thomas', Seaforth</t>
  </si>
  <si>
    <t>Holy Trinity, Lucan</t>
  </si>
  <si>
    <t>Trinity,  Bayfield</t>
  </si>
  <si>
    <t>St. John's, Brussels</t>
  </si>
  <si>
    <t>St. John's by-the-Lake, Grand Bend</t>
  </si>
  <si>
    <t>Christ Church , Port Albert</t>
  </si>
  <si>
    <t>Trinity Church, Blyth</t>
  </si>
  <si>
    <t>St. James, St. Mary's</t>
  </si>
  <si>
    <t>St. Paul's Trinity Church, Wingham</t>
  </si>
  <si>
    <t>St. Paul's Church, Stratford</t>
  </si>
  <si>
    <t>St. Stephen's Anglican Church, Stratford, ON</t>
  </si>
  <si>
    <t>St. James, Stratford</t>
  </si>
  <si>
    <t>Trivitt Memorial, Exeter</t>
  </si>
  <si>
    <t>Congregation Operating Expenses (2018)       Line  E1</t>
  </si>
  <si>
    <t>Expenses paid by other Organizations</t>
  </si>
  <si>
    <t>Assistant Curate costs     Sec. A (b)          (for stipend, travel, payroll, pension)</t>
  </si>
  <si>
    <t>Total Housing Allowance paid &amp; Building Rental costs for Ministry   Sec. B (i)</t>
  </si>
  <si>
    <t>Total Repayment of Capital Loan &amp; Mortgages (P&amp;I) (E2)</t>
  </si>
  <si>
    <t>London, St. John the Divine, Arva</t>
  </si>
  <si>
    <t>St. Luke's, Cambridge</t>
  </si>
  <si>
    <t>St. George's, Goderich</t>
  </si>
  <si>
    <t>Trinity, Watford</t>
  </si>
  <si>
    <t>St. John's, Thamesford</t>
  </si>
  <si>
    <t>Messiah, Kincardine</t>
  </si>
  <si>
    <t>Chatham, Holy Trinity (Reorganizing- - to be $38,000 comb. - F18,F19)</t>
  </si>
  <si>
    <t>Huntingford, Christ/Good Shepherd (Reorg. - - to be $14,000 comb. - F18,F19)</t>
  </si>
  <si>
    <t>Owen Sound, St. George's - reorg. with St. Thomas' in July-17 set at $50,000</t>
  </si>
  <si>
    <t>Waterloo, All Saints  - fixed to $39,458 to Yr. 2019</t>
  </si>
  <si>
    <t>2020 ov 2019 var.</t>
  </si>
  <si>
    <t xml:space="preserve">Huntingford, Christ/Good Shepherd </t>
  </si>
  <si>
    <t xml:space="preserve">Owen Sound, St. George's </t>
  </si>
  <si>
    <t>Chatham, Holy Trinity -St. Paul's</t>
  </si>
  <si>
    <t>Seaforth, St Thomas - - - - -St. Paul's, Clinton reorg. July 1-19</t>
  </si>
  <si>
    <t>Trinity</t>
  </si>
  <si>
    <t>St. Johns</t>
  </si>
  <si>
    <t>St. Thomas, St. John's-Trinity</t>
  </si>
  <si>
    <t xml:space="preserve"> + 5,291</t>
  </si>
  <si>
    <t>closed churches have been eliminated in prior years's apport. $$</t>
  </si>
  <si>
    <r>
      <t xml:space="preserve">Chatham, Holy Trinity </t>
    </r>
    <r>
      <rPr>
        <b/>
        <sz val="11"/>
        <rFont val="Open Sans"/>
        <family val="2"/>
      </rPr>
      <t>(Reorganizing- - to be $38,000 comb. - F18,F19)</t>
    </r>
  </si>
  <si>
    <r>
      <t xml:space="preserve">Waterloo, All Saints </t>
    </r>
    <r>
      <rPr>
        <b/>
        <sz val="14"/>
        <rFont val="Open Sans"/>
        <family val="2"/>
      </rPr>
      <t xml:space="preserve"> </t>
    </r>
  </si>
  <si>
    <r>
      <t xml:space="preserve">Waterloo, All Saints </t>
    </r>
    <r>
      <rPr>
        <b/>
        <sz val="14"/>
        <rFont val="Open Sans"/>
        <family val="2"/>
      </rPr>
      <t xml:space="preserve"> - fixed to $39,458 to Yr. 2019</t>
    </r>
  </si>
  <si>
    <t>Grace, Brantford</t>
  </si>
  <si>
    <t>St James', Brantford</t>
  </si>
  <si>
    <t>St Mark's, Brantford</t>
  </si>
  <si>
    <t>St. John's, Port Rowan</t>
  </si>
  <si>
    <t>Memorial Church, Port Ryersee</t>
  </si>
  <si>
    <t>St. John's, Woodhouse</t>
  </si>
  <si>
    <t xml:space="preserve">St. Paul's, Port Dover </t>
  </si>
  <si>
    <t>St. Paul's, Kanyengeh</t>
  </si>
  <si>
    <t>Trinity, Waterford</t>
  </si>
  <si>
    <t>Congregation Operating Expenses (2019)       Line  E1</t>
  </si>
  <si>
    <t>Trinity, Aylmer</t>
  </si>
  <si>
    <t>St Jude's Anglican Church Mt Brydges</t>
  </si>
  <si>
    <t>St. Andrew's, Muncey</t>
  </si>
  <si>
    <t>Zion, Oneida</t>
  </si>
  <si>
    <t>Christ Church, Port Stanley</t>
  </si>
  <si>
    <t>St. Hilda's-St. Luke's, St. Thomas</t>
  </si>
  <si>
    <t>St. John's, St. Thomas*</t>
  </si>
  <si>
    <t>St. Peter's, Tyrconnell</t>
  </si>
  <si>
    <t>St. Paul's, Essex</t>
  </si>
  <si>
    <t>St. John's the Evangelist, Leamington</t>
  </si>
  <si>
    <t>Church of the Redeemer, Colchester N.</t>
  </si>
  <si>
    <t>St. Mary's/Calvary, Pelee Island</t>
  </si>
  <si>
    <t>St. Andrews, Harrow</t>
  </si>
  <si>
    <t>St. Mark's by the Lake, Tecumseh</t>
  </si>
  <si>
    <t>All Saints', Windsor</t>
  </si>
  <si>
    <t>St. David and St. Mark, Windsor</t>
  </si>
  <si>
    <t>St, James (Roseland), Windsor</t>
  </si>
  <si>
    <t>St. John's (Sandwich)</t>
  </si>
  <si>
    <t>St. Mary's (Walkerville), Windsor</t>
  </si>
  <si>
    <t>Trinity St. James, Bayfield</t>
  </si>
  <si>
    <t>Christ Church, Port Albert</t>
  </si>
  <si>
    <t>Trinity, Blyth</t>
  </si>
  <si>
    <t xml:space="preserve">St John's, Brussels </t>
  </si>
  <si>
    <t>St. Paul's/Trinity, Wingham</t>
  </si>
  <si>
    <t>St. John's by the Lake, Grand Bend, ON</t>
  </si>
  <si>
    <t>St. Anne's Mission Church, Port Franks, ON</t>
  </si>
  <si>
    <t>St James St Marys</t>
  </si>
  <si>
    <t>Holy Spirit, Seaforth</t>
  </si>
  <si>
    <t>St. Paul's, Stratford</t>
  </si>
  <si>
    <t>St. Stephen's, Stratford</t>
  </si>
  <si>
    <t>Trinity, Blenheim</t>
  </si>
  <si>
    <t>St. Paul's, Erieua</t>
  </si>
  <si>
    <t>Christ Church, Chatham</t>
  </si>
  <si>
    <t>St. Peter's, Moriaviantown</t>
  </si>
  <si>
    <t>St. John's, Aughrim</t>
  </si>
  <si>
    <t>St. Matthew's, Florence</t>
  </si>
  <si>
    <t>St. James', Port Lambton</t>
  </si>
  <si>
    <t>St. James, Wallaceburg</t>
  </si>
  <si>
    <t>St. John in the Wilderness, Bright's Groves</t>
  </si>
  <si>
    <t>St. Paul's Point Edward</t>
  </si>
  <si>
    <t>0l</t>
  </si>
  <si>
    <t>St. John's, Strathroy</t>
  </si>
  <si>
    <t>Canon Davis Memorial, Sarnia</t>
  </si>
  <si>
    <t>St. Bartholomew's, Sarnia</t>
  </si>
  <si>
    <t>Trinity, Sarnia</t>
  </si>
  <si>
    <t>All Saints', Sarnia-Corunna</t>
  </si>
  <si>
    <t>St. John the Baptist, Walpole Island First Nation</t>
  </si>
  <si>
    <t>St. Paul's Cathedral, London</t>
  </si>
  <si>
    <t>St. John's, Arva</t>
  </si>
  <si>
    <t>Trinity, Lambeth</t>
  </si>
  <si>
    <t>All Saints', London</t>
  </si>
  <si>
    <t>Church of the Ascension - London</t>
  </si>
  <si>
    <t>Church of the Epiphany, London</t>
  </si>
  <si>
    <t>Church of the Transfiguration , London</t>
  </si>
  <si>
    <t>Holy Trinity St. Stephen's, London</t>
  </si>
  <si>
    <t>St. Aidan's, London</t>
  </si>
  <si>
    <t>St. Andrew Memorial</t>
  </si>
  <si>
    <t>St. Anne's (Byron), London</t>
  </si>
  <si>
    <t>St. George's, London</t>
  </si>
  <si>
    <t>St. James', Westminster, London</t>
  </si>
  <si>
    <t>St. John's, London</t>
  </si>
  <si>
    <t>St. Jude's, London</t>
  </si>
  <si>
    <t>St. Mark's Anglican Church London, ON</t>
  </si>
  <si>
    <t>St. Martin-in-the-Fields</t>
  </si>
  <si>
    <t>St. Michael &amp; All Angels, London.</t>
  </si>
  <si>
    <t>St. George's Middlesex Centre</t>
  </si>
  <si>
    <t>St. Alban's the Martyr, Delhi</t>
  </si>
  <si>
    <t>Christ Church, Huntingford</t>
  </si>
  <si>
    <t>St. James', Ingersoll</t>
  </si>
  <si>
    <t>St. George's, Thorndale</t>
  </si>
  <si>
    <t>Church of the Epiphany, Woodstock, ON</t>
  </si>
  <si>
    <t>Church of the Messiah, Kincardine</t>
  </si>
  <si>
    <t>St. Thomas', Walkerton</t>
  </si>
  <si>
    <t>Trinity, Durham</t>
  </si>
  <si>
    <t>St. James', Fairmount</t>
  </si>
  <si>
    <t>Ascension, Kinlough</t>
  </si>
  <si>
    <t>Trinity, Wiarton</t>
  </si>
  <si>
    <t>Christ Church, Lions Head</t>
  </si>
  <si>
    <t xml:space="preserve">St. Edmond's, Tobermory </t>
  </si>
  <si>
    <t>Christ Church, Tara &amp; St. Paul's, Chatsworth</t>
  </si>
  <si>
    <t>St. John's, Cambridge</t>
  </si>
  <si>
    <t>St. James', Cambridge</t>
  </si>
  <si>
    <t>Trinity, Cambridge</t>
  </si>
  <si>
    <t>St. Andrew's, Kitchener</t>
  </si>
  <si>
    <t>St. John The Evangelist- Kitchener</t>
  </si>
  <si>
    <t>St. George’s New Hamburg</t>
  </si>
  <si>
    <t>Church of the Holy Saviour, Waterloo</t>
  </si>
  <si>
    <t>Church of St Columba, Waterloo</t>
  </si>
  <si>
    <t>2019 Oper. Expenses</t>
  </si>
  <si>
    <t>2018 Oper. Expenses</t>
  </si>
  <si>
    <t>Holy Trinity/St. Paul's, Chatham</t>
  </si>
  <si>
    <t>2021</t>
  </si>
  <si>
    <r>
      <t>Six Nations, St. Peters</t>
    </r>
    <r>
      <rPr>
        <b/>
        <sz val="14"/>
        <color indexed="10"/>
        <rFont val="Open Sans"/>
        <family val="2"/>
      </rPr>
      <t xml:space="preserve"> - - - - - I had to est. No #'s</t>
    </r>
  </si>
  <si>
    <r>
      <t>Six Nations,  St. Luke's</t>
    </r>
    <r>
      <rPr>
        <b/>
        <sz val="14"/>
        <color indexed="10"/>
        <rFont val="Open Sans"/>
        <family val="2"/>
      </rPr>
      <t xml:space="preserve"> - - - - - I had to est. No #'s</t>
    </r>
  </si>
  <si>
    <r>
      <t xml:space="preserve">Moraviantown, St. Peter's </t>
    </r>
    <r>
      <rPr>
        <b/>
        <sz val="14"/>
        <color indexed="10"/>
        <rFont val="Open Sans"/>
        <family val="2"/>
      </rPr>
      <t>- - - - - - -I est. Had No #'s</t>
    </r>
  </si>
  <si>
    <r>
      <t>Thorndale, St. George's-on-the-Wye</t>
    </r>
    <r>
      <rPr>
        <b/>
        <sz val="14"/>
        <color indexed="10"/>
        <rFont val="Open Sans"/>
        <family val="2"/>
      </rPr>
      <t xml:space="preserve"> - - I est. their 2019 expenses. No #'s</t>
    </r>
  </si>
  <si>
    <t>2020 Oper. Expenses</t>
  </si>
  <si>
    <t>St. Paul's Anglican Church, Port Dover</t>
  </si>
  <si>
    <t>All Saints, Mt. Pleasant</t>
  </si>
  <si>
    <t>St James, Brantford</t>
  </si>
  <si>
    <t xml:space="preserve">TRINITY CHURCH,  WATERFORD </t>
  </si>
  <si>
    <t>St Johns Port Rowan</t>
  </si>
  <si>
    <t>Memorial Church Port Ryerse</t>
  </si>
  <si>
    <t>Grace. Brantford</t>
  </si>
  <si>
    <t>Holy Trinity, St George</t>
  </si>
  <si>
    <t>Trinity Anglican Church, Aylmer</t>
  </si>
  <si>
    <t>St. Peter's Tyrconnell, Wallacetown</t>
  </si>
  <si>
    <t>St. Thomas, St. Thomas</t>
  </si>
  <si>
    <t>St. Andrew's Anglican Church, Harrow</t>
  </si>
  <si>
    <t>st marks by the lake</t>
  </si>
  <si>
    <t>St. Andrew's     LaSalle ON</t>
  </si>
  <si>
    <t>Windsor</t>
  </si>
  <si>
    <t>St. Johns - Windsor</t>
  </si>
  <si>
    <t xml:space="preserve">St. John the Evangelist </t>
  </si>
  <si>
    <t>Church of the Redeemer, Essex</t>
  </si>
  <si>
    <t>Christ Church, Harrow</t>
  </si>
  <si>
    <t>St. Mary's Church, Windsor</t>
  </si>
  <si>
    <t>???</t>
  </si>
  <si>
    <t>St. James Stratford</t>
  </si>
  <si>
    <t>St James, St Marys</t>
  </si>
  <si>
    <t>St. John's by the Lake, Grand Bend</t>
  </si>
  <si>
    <t>00</t>
  </si>
  <si>
    <t>St. Paul’s-Trinity. Wingham, On</t>
  </si>
  <si>
    <t>St. James  Port Lambton</t>
  </si>
  <si>
    <t>St. James the Apostle, Wallaceburg</t>
  </si>
  <si>
    <t>Holy Trinity-St. Paul's, Chatham</t>
  </si>
  <si>
    <t>St. Paul's, Erieau</t>
  </si>
  <si>
    <t>St. James - Parkhill</t>
  </si>
  <si>
    <t>St. John the Evangelist, Strathroy</t>
  </si>
  <si>
    <t>Trinity Church, Sarnia</t>
  </si>
  <si>
    <t>All Saint's, Sarnia</t>
  </si>
  <si>
    <t>ST. MARTIN IN THE FIELDS, LONDON</t>
  </si>
  <si>
    <t>St. Michael &amp; All Angels  (London)</t>
  </si>
  <si>
    <t>Church of the Ascension, London</t>
  </si>
  <si>
    <t>St. Anne's Byron</t>
  </si>
  <si>
    <t>Church of The Transfiguration, London</t>
  </si>
  <si>
    <t>The Church of the Epiphany</t>
  </si>
  <si>
    <t>St. Mark's Anglican Church - London</t>
  </si>
  <si>
    <t>St. James, Westminster</t>
  </si>
  <si>
    <t>St. John the Evangelist, London</t>
  </si>
  <si>
    <t>Holy Trinity- St. Stephen's, London</t>
  </si>
  <si>
    <t>All Saint's, London</t>
  </si>
  <si>
    <t>St. Alban the Martyr - Delhi</t>
  </si>
  <si>
    <t>St. James', Fairmount, Meaford</t>
  </si>
  <si>
    <t>Trinity Anglican, Wairton</t>
  </si>
  <si>
    <t>St. Edmund's Anglican, Tobermory</t>
  </si>
  <si>
    <t>Trinity Anglican Church Durham</t>
  </si>
  <si>
    <t>Christ Church Markdale</t>
  </si>
  <si>
    <t xml:space="preserve">Christ Church, Tara &amp; St. Paul's, Chatsworth </t>
  </si>
  <si>
    <t>St. Thomas, Walkerton</t>
  </si>
  <si>
    <t>St. George's, Town of the Blue Mountains</t>
  </si>
  <si>
    <t>St. Luke's Anglican CAMBRIDGE</t>
  </si>
  <si>
    <t>St. George’s, New Hamburg</t>
  </si>
  <si>
    <t>Holy Trinity Kitchener</t>
  </si>
  <si>
    <t>Church of the Holy Saviour</t>
  </si>
  <si>
    <t>The Church of St John the Evangelist, Kitchener</t>
  </si>
  <si>
    <t>All Saint's, Waterloo</t>
  </si>
  <si>
    <t>2022 APPORTIONMENT -  draft</t>
  </si>
  <si>
    <t>MISSION &amp; SERVICE BUDGET APPORTIONMENT 2022</t>
  </si>
  <si>
    <t>2020 expenses</t>
  </si>
  <si>
    <t>2022</t>
  </si>
  <si>
    <r>
      <t xml:space="preserve">      Mt. Brydges, St. Jude's -</t>
    </r>
    <r>
      <rPr>
        <sz val="11"/>
        <rFont val="Open Sans"/>
        <family val="2"/>
      </rPr>
      <t xml:space="preserve"> </t>
    </r>
    <r>
      <rPr>
        <b/>
        <sz val="11"/>
        <rFont val="Open Sans"/>
        <family val="2"/>
      </rPr>
      <t>closing Nov.30-22</t>
    </r>
  </si>
  <si>
    <r>
      <t xml:space="preserve">      Mt. Brydges, St. Jude's -</t>
    </r>
    <r>
      <rPr>
        <b/>
        <sz val="10"/>
        <rFont val="Open Sans"/>
        <family val="2"/>
      </rPr>
      <t xml:space="preserve"> closing Nov. 30-22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</si>
</sst>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_)"/>
    <numFmt numFmtId="173" formatCode="0.0000%"/>
    <numFmt numFmtId="174" formatCode="0.0%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\-#,##0\ "/>
    <numFmt numFmtId="181" formatCode="0_ ;\-0\ "/>
    <numFmt numFmtId="182" formatCode="&quot;$&quot;#,##0.00"/>
    <numFmt numFmtId="183" formatCode="&quot;$&quot;#,##0"/>
    <numFmt numFmtId="184" formatCode="#,##0.00_ ;\-#,##0.00\ "/>
    <numFmt numFmtId="185" formatCode="_-[$$-1009]* #,##0_-;\-[$$-1009]* #,##0_-;_-[$$-1009]* &quot;-&quot;_-;_-@_-"/>
  </numFmts>
  <fonts count="78">
    <font>
      <sz val="12"/>
      <name val="Helv"/>
      <family val="0"/>
    </font>
    <font>
      <sz val="10"/>
      <name val="Arial"/>
      <family val="0"/>
    </font>
    <font>
      <sz val="12"/>
      <name val="Open Sans"/>
      <family val="2"/>
    </font>
    <font>
      <sz val="24"/>
      <name val="Open Sans"/>
      <family val="2"/>
    </font>
    <font>
      <sz val="12"/>
      <color indexed="12"/>
      <name val="Open Sans"/>
      <family val="2"/>
    </font>
    <font>
      <sz val="14"/>
      <name val="Open Sans"/>
      <family val="2"/>
    </font>
    <font>
      <sz val="14"/>
      <color indexed="12"/>
      <name val="Open Sans"/>
      <family val="2"/>
    </font>
    <font>
      <u val="single"/>
      <sz val="12"/>
      <name val="Open Sans"/>
      <family val="2"/>
    </font>
    <font>
      <b/>
      <sz val="14"/>
      <color indexed="12"/>
      <name val="Open Sans"/>
      <family val="2"/>
    </font>
    <font>
      <b/>
      <sz val="15"/>
      <color indexed="12"/>
      <name val="Open Sans"/>
      <family val="2"/>
    </font>
    <font>
      <sz val="10"/>
      <name val="Open Sans"/>
      <family val="2"/>
    </font>
    <font>
      <sz val="13"/>
      <name val="Open Sans"/>
      <family val="2"/>
    </font>
    <font>
      <b/>
      <sz val="14"/>
      <name val="Open Sans"/>
      <family val="2"/>
    </font>
    <font>
      <u val="single"/>
      <sz val="14"/>
      <name val="Open Sans"/>
      <family val="2"/>
    </font>
    <font>
      <b/>
      <sz val="11"/>
      <name val="Open Sans"/>
      <family val="2"/>
    </font>
    <font>
      <b/>
      <sz val="14"/>
      <color indexed="10"/>
      <name val="Open Sans"/>
      <family val="2"/>
    </font>
    <font>
      <b/>
      <sz val="13"/>
      <name val="Open Sans"/>
      <family val="2"/>
    </font>
    <font>
      <b/>
      <sz val="10"/>
      <name val="Open Sans"/>
      <family val="2"/>
    </font>
    <font>
      <sz val="11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Open Sans"/>
      <family val="2"/>
    </font>
    <font>
      <sz val="12"/>
      <color indexed="10"/>
      <name val="Open Sans"/>
      <family val="2"/>
    </font>
    <font>
      <b/>
      <sz val="12"/>
      <color indexed="40"/>
      <name val="Open Sans"/>
      <family val="2"/>
    </font>
    <font>
      <b/>
      <sz val="16"/>
      <color indexed="40"/>
      <name val="Open Sans"/>
      <family val="2"/>
    </font>
    <font>
      <b/>
      <sz val="16"/>
      <color indexed="56"/>
      <name val="Open Sans"/>
      <family val="2"/>
    </font>
    <font>
      <b/>
      <sz val="15"/>
      <color indexed="10"/>
      <name val="Open Sans"/>
      <family val="2"/>
    </font>
    <font>
      <b/>
      <sz val="12"/>
      <color indexed="10"/>
      <name val="Open Sans"/>
      <family val="2"/>
    </font>
    <font>
      <sz val="14"/>
      <color indexed="10"/>
      <name val="Open Sans"/>
      <family val="2"/>
    </font>
    <font>
      <sz val="12"/>
      <color indexed="8"/>
      <name val="Open Sans"/>
      <family val="2"/>
    </font>
    <font>
      <b/>
      <sz val="12"/>
      <color indexed="8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Open Sans"/>
      <family val="2"/>
    </font>
    <font>
      <sz val="12"/>
      <color rgb="FFFF0000"/>
      <name val="Open Sans"/>
      <family val="2"/>
    </font>
    <font>
      <b/>
      <sz val="12"/>
      <color rgb="FF00B0F0"/>
      <name val="Open Sans"/>
      <family val="2"/>
    </font>
    <font>
      <b/>
      <sz val="16"/>
      <color rgb="FF00B0F0"/>
      <name val="Open Sans"/>
      <family val="2"/>
    </font>
    <font>
      <b/>
      <sz val="16"/>
      <color theme="3"/>
      <name val="Open Sans"/>
      <family val="2"/>
    </font>
    <font>
      <b/>
      <sz val="15"/>
      <color rgb="FFFF0000"/>
      <name val="Open Sans"/>
      <family val="2"/>
    </font>
    <font>
      <b/>
      <sz val="12"/>
      <color rgb="FFFF0000"/>
      <name val="Open Sans"/>
      <family val="2"/>
    </font>
    <font>
      <b/>
      <sz val="14"/>
      <color rgb="FFFF0000"/>
      <name val="Open Sans"/>
      <family val="2"/>
    </font>
    <font>
      <sz val="14"/>
      <color rgb="FFFF0000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7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37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 quotePrefix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>
      <alignment/>
    </xf>
    <xf numFmtId="17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fill"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81" fontId="7" fillId="0" borderId="0" xfId="0" applyNumberFormat="1" applyFont="1" applyAlignment="1" applyProtection="1" quotePrefix="1">
      <alignment/>
      <protection/>
    </xf>
    <xf numFmtId="37" fontId="7" fillId="0" borderId="0" xfId="0" applyNumberFormat="1" applyFont="1" applyAlignment="1" applyProtection="1">
      <alignment horizontal="center" wrapText="1"/>
      <protection/>
    </xf>
    <xf numFmtId="37" fontId="7" fillId="0" borderId="0" xfId="0" applyNumberFormat="1" applyFont="1" applyAlignment="1" applyProtection="1" quotePrefix="1">
      <alignment/>
      <protection/>
    </xf>
    <xf numFmtId="182" fontId="67" fillId="0" borderId="5" xfId="51" applyNumberFormat="1" applyFont="1" applyAlignment="1">
      <alignment wrapText="1"/>
    </xf>
    <xf numFmtId="37" fontId="8" fillId="0" borderId="0" xfId="0" applyNumberFormat="1" applyFont="1" applyAlignment="1" applyProtection="1">
      <alignment horizontal="center"/>
      <protection locked="0"/>
    </xf>
    <xf numFmtId="180" fontId="6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 horizontal="right"/>
      <protection/>
    </xf>
    <xf numFmtId="180" fontId="5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7" fontId="9" fillId="0" borderId="0" xfId="0" applyNumberFormat="1" applyFont="1" applyAlignment="1" applyProtection="1">
      <alignment horizontal="center"/>
      <protection locked="0"/>
    </xf>
    <xf numFmtId="37" fontId="5" fillId="0" borderId="0" xfId="0" applyFont="1" applyAlignment="1">
      <alignment/>
    </xf>
    <xf numFmtId="37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174" fontId="11" fillId="0" borderId="0" xfId="0" applyNumberFormat="1" applyFont="1" applyAlignment="1" applyProtection="1">
      <alignment/>
      <protection/>
    </xf>
    <xf numFmtId="37" fontId="12" fillId="0" borderId="0" xfId="0" applyFont="1" applyAlignment="1">
      <alignment/>
    </xf>
    <xf numFmtId="180" fontId="11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182" fontId="2" fillId="0" borderId="10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4" fontId="5" fillId="0" borderId="0" xfId="0" applyNumberFormat="1" applyFont="1" applyAlignment="1" applyProtection="1">
      <alignment/>
      <protection/>
    </xf>
    <xf numFmtId="182" fontId="68" fillId="0" borderId="0" xfId="0" applyNumberFormat="1" applyFont="1" applyAlignment="1">
      <alignment/>
    </xf>
    <xf numFmtId="182" fontId="68" fillId="0" borderId="10" xfId="0" applyNumberFormat="1" applyFont="1" applyBorder="1" applyAlignment="1">
      <alignment/>
    </xf>
    <xf numFmtId="182" fontId="2" fillId="0" borderId="0" xfId="0" applyNumberFormat="1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184" fontId="2" fillId="0" borderId="0" xfId="0" applyNumberFormat="1" applyFont="1" applyAlignment="1">
      <alignment/>
    </xf>
    <xf numFmtId="175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Font="1" applyAlignment="1">
      <alignment/>
    </xf>
    <xf numFmtId="37" fontId="2" fillId="0" borderId="0" xfId="0" applyFont="1" applyAlignment="1">
      <alignment wrapText="1"/>
    </xf>
    <xf numFmtId="185" fontId="2" fillId="0" borderId="0" xfId="44" applyNumberFormat="1" applyFont="1" applyAlignment="1">
      <alignment/>
    </xf>
    <xf numFmtId="184" fontId="5" fillId="0" borderId="0" xfId="44" applyNumberFormat="1" applyFont="1" applyAlignment="1">
      <alignment/>
    </xf>
    <xf numFmtId="184" fontId="2" fillId="0" borderId="0" xfId="44" applyNumberFormat="1" applyFont="1" applyAlignment="1">
      <alignment/>
    </xf>
    <xf numFmtId="184" fontId="2" fillId="0" borderId="0" xfId="44" applyNumberFormat="1" applyFont="1" applyAlignment="1" quotePrefix="1">
      <alignment/>
    </xf>
    <xf numFmtId="37" fontId="69" fillId="0" borderId="0" xfId="0" applyFont="1" applyAlignment="1">
      <alignment wrapText="1"/>
    </xf>
    <xf numFmtId="37" fontId="70" fillId="0" borderId="0" xfId="0" applyFont="1" applyAlignment="1">
      <alignment/>
    </xf>
    <xf numFmtId="37" fontId="71" fillId="0" borderId="0" xfId="0" applyFont="1" applyAlignment="1">
      <alignment/>
    </xf>
    <xf numFmtId="37" fontId="72" fillId="0" borderId="0" xfId="0" applyNumberFormat="1" applyFont="1" applyAlignment="1" applyProtection="1">
      <alignment horizontal="center"/>
      <protection locked="0"/>
    </xf>
    <xf numFmtId="182" fontId="14" fillId="0" borderId="5" xfId="51" applyNumberFormat="1" applyFont="1" applyAlignment="1">
      <alignment wrapText="1"/>
    </xf>
    <xf numFmtId="37" fontId="72" fillId="0" borderId="0" xfId="0" applyFont="1" applyAlignment="1">
      <alignment horizontal="right"/>
    </xf>
    <xf numFmtId="184" fontId="73" fillId="0" borderId="0" xfId="44" applyNumberFormat="1" applyFont="1" applyAlignment="1">
      <alignment/>
    </xf>
    <xf numFmtId="37" fontId="73" fillId="0" borderId="0" xfId="0" applyFont="1" applyAlignment="1">
      <alignment/>
    </xf>
    <xf numFmtId="184" fontId="74" fillId="0" borderId="0" xfId="44" applyNumberFormat="1" applyFont="1" applyAlignment="1">
      <alignment/>
    </xf>
    <xf numFmtId="37" fontId="7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right"/>
      <protection/>
    </xf>
    <xf numFmtId="184" fontId="73" fillId="0" borderId="0" xfId="0" applyNumberFormat="1" applyFont="1" applyAlignment="1">
      <alignment/>
    </xf>
    <xf numFmtId="37" fontId="2" fillId="12" borderId="0" xfId="0" applyNumberFormat="1" applyFont="1" applyFill="1" applyAlignment="1" applyProtection="1">
      <alignment/>
      <protection/>
    </xf>
    <xf numFmtId="37" fontId="2" fillId="12" borderId="0" xfId="0" applyFont="1" applyFill="1" applyAlignment="1" quotePrefix="1">
      <alignment/>
    </xf>
    <xf numFmtId="37" fontId="2" fillId="12" borderId="0" xfId="0" applyFont="1" applyFill="1" applyAlignment="1">
      <alignment/>
    </xf>
    <xf numFmtId="37" fontId="2" fillId="12" borderId="0" xfId="0" applyNumberFormat="1" applyFont="1" applyFill="1" applyAlignment="1" applyProtection="1">
      <alignment horizontal="center"/>
      <protection/>
    </xf>
    <xf numFmtId="37" fontId="2" fillId="12" borderId="0" xfId="0" applyNumberFormat="1" applyFont="1" applyFill="1" applyAlignment="1" applyProtection="1">
      <alignment horizontal="fill"/>
      <protection/>
    </xf>
    <xf numFmtId="37" fontId="5" fillId="12" borderId="0" xfId="0" applyNumberFormat="1" applyFont="1" applyFill="1" applyAlignment="1" applyProtection="1">
      <alignment/>
      <protection/>
    </xf>
    <xf numFmtId="37" fontId="5" fillId="12" borderId="0" xfId="0" applyNumberFormat="1" applyFont="1" applyFill="1" applyAlignment="1" applyProtection="1">
      <alignment horizontal="right"/>
      <protection/>
    </xf>
    <xf numFmtId="37" fontId="5" fillId="12" borderId="0" xfId="0" applyNumberFormat="1" applyFont="1" applyFill="1" applyAlignment="1" applyProtection="1">
      <alignment horizontal="fill"/>
      <protection/>
    </xf>
    <xf numFmtId="37" fontId="5" fillId="12" borderId="0" xfId="0" applyFont="1" applyFill="1" applyAlignment="1">
      <alignment/>
    </xf>
    <xf numFmtId="37" fontId="5" fillId="12" borderId="0" xfId="0" applyNumberFormat="1" applyFont="1" applyFill="1" applyAlignment="1" applyProtection="1">
      <alignment horizontal="center"/>
      <protection/>
    </xf>
    <xf numFmtId="37" fontId="76" fillId="0" borderId="0" xfId="0" applyFont="1" applyAlignment="1">
      <alignment/>
    </xf>
    <xf numFmtId="182" fontId="76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183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37" fontId="2" fillId="33" borderId="0" xfId="0" applyFont="1" applyFill="1" applyAlignment="1">
      <alignment/>
    </xf>
    <xf numFmtId="37" fontId="73" fillId="0" borderId="0" xfId="0" applyFont="1" applyAlignment="1">
      <alignment horizontal="right"/>
    </xf>
    <xf numFmtId="37" fontId="76" fillId="0" borderId="0" xfId="0" applyFont="1" applyAlignment="1" quotePrefix="1">
      <alignment/>
    </xf>
    <xf numFmtId="37" fontId="76" fillId="33" borderId="0" xfId="0" applyFont="1" applyFill="1" applyAlignment="1">
      <alignment/>
    </xf>
    <xf numFmtId="37" fontId="16" fillId="0" borderId="0" xfId="0" applyNumberFormat="1" applyFont="1" applyAlignment="1" applyProtection="1">
      <alignment horizontal="center"/>
      <protection/>
    </xf>
    <xf numFmtId="3" fontId="73" fillId="33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77" fillId="0" borderId="0" xfId="0" applyFont="1" applyAlignment="1">
      <alignment/>
    </xf>
    <xf numFmtId="37" fontId="2" fillId="33" borderId="0" xfId="0" applyNumberFormat="1" applyFont="1" applyFill="1" applyAlignment="1" applyProtection="1">
      <alignment/>
      <protection/>
    </xf>
    <xf numFmtId="37" fontId="77" fillId="0" borderId="10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- Style2" xfId="58"/>
    <cellStyle name="Normal - Style3" xfId="59"/>
    <cellStyle name="Normal - Style4" xfId="60"/>
    <cellStyle name="Normal - Style5" xfId="61"/>
    <cellStyle name="Normal - Style6" xfId="62"/>
    <cellStyle name="Normal - Style7" xfId="63"/>
    <cellStyle name="Normal - Style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N512"/>
  <sheetViews>
    <sheetView showGridLines="0" tabSelected="1" zoomScale="75" zoomScaleNormal="75" zoomScalePageLayoutView="0" workbookViewId="0" topLeftCell="A34">
      <selection activeCell="A38" sqref="A38"/>
    </sheetView>
  </sheetViews>
  <sheetFormatPr defaultColWidth="14.77734375" defaultRowHeight="15.75"/>
  <cols>
    <col min="1" max="1" width="50.99609375" style="3" customWidth="1"/>
    <col min="2" max="2" width="3.3359375" style="3" customWidth="1"/>
    <col min="3" max="3" width="15.3359375" style="3" customWidth="1"/>
    <col min="4" max="4" width="11.77734375" style="3" customWidth="1"/>
    <col min="5" max="5" width="14.21484375" style="3" customWidth="1"/>
    <col min="6" max="6" width="1.77734375" style="3" customWidth="1"/>
    <col min="7" max="8" width="12.5546875" style="3" customWidth="1"/>
    <col min="9" max="9" width="13.99609375" style="3" customWidth="1"/>
    <col min="10" max="10" width="15.77734375" style="3" customWidth="1"/>
    <col min="11" max="11" width="14.21484375" style="3" customWidth="1"/>
    <col min="12" max="12" width="16.21484375" style="3" customWidth="1"/>
    <col min="13" max="13" width="1.77734375" style="3" customWidth="1"/>
    <col min="14" max="14" width="19.21484375" style="3" customWidth="1"/>
    <col min="15" max="15" width="17.6640625" style="3" customWidth="1"/>
    <col min="16" max="16" width="1.77734375" style="3" customWidth="1"/>
    <col min="17" max="17" width="11.77734375" style="3" customWidth="1"/>
    <col min="18" max="18" width="1.77734375" style="3" customWidth="1"/>
    <col min="19" max="19" width="16.3359375" style="73" customWidth="1"/>
    <col min="20" max="20" width="20.3359375" style="3" customWidth="1"/>
    <col min="21" max="21" width="15.99609375" style="3" customWidth="1"/>
    <col min="22" max="22" width="1.77734375" style="3" customWidth="1"/>
    <col min="23" max="23" width="54.5546875" style="3" customWidth="1"/>
    <col min="24" max="24" width="14.5546875" style="3" customWidth="1"/>
    <col min="25" max="25" width="14.21484375" style="3" customWidth="1"/>
    <col min="26" max="27" width="15.3359375" style="3" customWidth="1"/>
    <col min="28" max="28" width="14.77734375" style="3" customWidth="1"/>
    <col min="29" max="29" width="11.10546875" style="3" customWidth="1"/>
    <col min="30" max="30" width="8.21484375" style="3" customWidth="1"/>
    <col min="31" max="31" width="6.4453125" style="3" customWidth="1"/>
    <col min="32" max="32" width="20.21484375" style="3" customWidth="1"/>
    <col min="33" max="33" width="16.77734375" style="3" customWidth="1"/>
    <col min="34" max="35" width="14.77734375" style="3" customWidth="1"/>
    <col min="36" max="36" width="38.99609375" style="3" customWidth="1"/>
    <col min="37" max="37" width="16.3359375" style="3" customWidth="1"/>
    <col min="38" max="38" width="16.10546875" style="3" customWidth="1"/>
    <col min="39" max="39" width="16.5546875" style="3" customWidth="1"/>
    <col min="40" max="40" width="16.6640625" style="3" customWidth="1"/>
    <col min="41" max="41" width="16.21484375" style="3" customWidth="1"/>
    <col min="42" max="43" width="14.77734375" style="3" customWidth="1"/>
    <col min="44" max="44" width="20.6640625" style="3" customWidth="1"/>
    <col min="45" max="45" width="14.77734375" style="3" customWidth="1"/>
    <col min="46" max="46" width="25.3359375" style="3" customWidth="1"/>
    <col min="47" max="47" width="21.88671875" style="3" customWidth="1"/>
    <col min="48" max="48" width="22.5546875" style="3" customWidth="1"/>
    <col min="49" max="49" width="22.4453125" style="3" customWidth="1"/>
    <col min="50" max="50" width="20.6640625" style="3" customWidth="1"/>
    <col min="51" max="51" width="14.77734375" style="3" customWidth="1"/>
    <col min="52" max="52" width="20.10546875" style="3" customWidth="1"/>
    <col min="53" max="16384" width="14.77734375" style="3" customWidth="1"/>
  </cols>
  <sheetData>
    <row r="1" spans="1:33" ht="34.5">
      <c r="A1" s="1"/>
      <c r="B1" s="1"/>
      <c r="C1" s="2" t="s">
        <v>574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1" t="s">
        <v>0</v>
      </c>
      <c r="B2" s="1"/>
      <c r="C2" s="4"/>
      <c r="D2" s="1" t="s">
        <v>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>
      <c r="A3" s="5" t="s">
        <v>575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ht="18.75">
      <c r="A5" s="1" t="s">
        <v>1</v>
      </c>
      <c r="B5" s="1" t="s">
        <v>2</v>
      </c>
      <c r="D5" s="90" t="s">
        <v>576</v>
      </c>
      <c r="E5" s="1"/>
      <c r="F5" s="1" t="s">
        <v>2</v>
      </c>
      <c r="G5" s="7" t="s">
        <v>3</v>
      </c>
      <c r="H5" s="7" t="s">
        <v>3</v>
      </c>
      <c r="I5" s="7" t="s">
        <v>3</v>
      </c>
      <c r="J5" s="6" t="s">
        <v>4</v>
      </c>
      <c r="K5" s="7" t="s">
        <v>3</v>
      </c>
      <c r="L5" s="7" t="s">
        <v>3</v>
      </c>
      <c r="M5" s="1" t="s">
        <v>2</v>
      </c>
      <c r="N5" s="1" t="s">
        <v>5</v>
      </c>
      <c r="O5" s="1"/>
      <c r="P5" s="1" t="s">
        <v>2</v>
      </c>
      <c r="Q5" s="6" t="s">
        <v>6</v>
      </c>
      <c r="R5" s="1" t="s">
        <v>2</v>
      </c>
      <c r="S5" s="72" t="s">
        <v>185</v>
      </c>
      <c r="T5" s="6" t="s">
        <v>7</v>
      </c>
      <c r="U5" s="4" t="s">
        <v>186</v>
      </c>
      <c r="V5" s="1" t="s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">
      <c r="A6" s="1"/>
      <c r="B6" s="1" t="s">
        <v>2</v>
      </c>
      <c r="C6" s="1"/>
      <c r="D6" s="1"/>
      <c r="E6" s="1"/>
      <c r="F6" s="1" t="s">
        <v>2</v>
      </c>
      <c r="G6" s="1"/>
      <c r="H6" s="1"/>
      <c r="I6" s="1"/>
      <c r="J6" s="1"/>
      <c r="K6" s="1"/>
      <c r="L6" s="1"/>
      <c r="M6" s="1" t="s">
        <v>2</v>
      </c>
      <c r="N6" s="1"/>
      <c r="O6" s="8" t="s">
        <v>8</v>
      </c>
      <c r="P6" s="1" t="s">
        <v>2</v>
      </c>
      <c r="Q6" s="1"/>
      <c r="R6" s="1" t="s">
        <v>2</v>
      </c>
      <c r="S6" s="71"/>
      <c r="T6" s="1"/>
      <c r="U6" s="1"/>
      <c r="V6" s="1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>
      <c r="A7" s="1"/>
      <c r="B7" s="1" t="s">
        <v>2</v>
      </c>
      <c r="C7" s="1"/>
      <c r="D7" s="1"/>
      <c r="E7" s="6" t="s">
        <v>9</v>
      </c>
      <c r="F7" s="1" t="s">
        <v>2</v>
      </c>
      <c r="G7" s="1"/>
      <c r="H7" s="1"/>
      <c r="I7" s="1"/>
      <c r="J7" s="8" t="s">
        <v>10</v>
      </c>
      <c r="K7" s="8" t="s">
        <v>11</v>
      </c>
      <c r="L7" s="1"/>
      <c r="M7" s="1" t="s">
        <v>2</v>
      </c>
      <c r="N7" s="1"/>
      <c r="O7" s="8" t="s">
        <v>12</v>
      </c>
      <c r="P7" s="1" t="s">
        <v>2</v>
      </c>
      <c r="Q7" s="6" t="s">
        <v>13</v>
      </c>
      <c r="R7" s="1" t="s">
        <v>2</v>
      </c>
      <c r="S7" s="71"/>
      <c r="U7" s="1"/>
      <c r="V7" s="1" t="s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">
      <c r="A8" s="1"/>
      <c r="B8" s="1" t="s">
        <v>2</v>
      </c>
      <c r="C8" s="1"/>
      <c r="D8" s="6" t="s">
        <v>14</v>
      </c>
      <c r="E8" s="6" t="s">
        <v>15</v>
      </c>
      <c r="F8" s="1" t="s">
        <v>2</v>
      </c>
      <c r="G8" s="1" t="s">
        <v>215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9</v>
      </c>
      <c r="M8" s="1" t="s">
        <v>2</v>
      </c>
      <c r="N8" s="8" t="s">
        <v>20</v>
      </c>
      <c r="O8" s="8" t="s">
        <v>21</v>
      </c>
      <c r="P8" s="1" t="s">
        <v>2</v>
      </c>
      <c r="Q8" s="8" t="s">
        <v>22</v>
      </c>
      <c r="R8" s="1" t="s">
        <v>2</v>
      </c>
      <c r="S8" s="71"/>
      <c r="T8" s="9" t="s">
        <v>23</v>
      </c>
      <c r="U8" s="1"/>
      <c r="V8" s="1" t="s">
        <v>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>
      <c r="A9" s="1" t="s">
        <v>24</v>
      </c>
      <c r="B9" s="1" t="s">
        <v>2</v>
      </c>
      <c r="C9" s="6" t="s">
        <v>15</v>
      </c>
      <c r="D9" s="6" t="s">
        <v>25</v>
      </c>
      <c r="E9" s="6" t="s">
        <v>14</v>
      </c>
      <c r="F9" s="1" t="s">
        <v>2</v>
      </c>
      <c r="G9" s="1" t="s">
        <v>216</v>
      </c>
      <c r="H9" s="8" t="s">
        <v>26</v>
      </c>
      <c r="I9" s="8" t="s">
        <v>16</v>
      </c>
      <c r="J9" s="8" t="s">
        <v>27</v>
      </c>
      <c r="K9" s="8" t="s">
        <v>28</v>
      </c>
      <c r="L9" s="8" t="s">
        <v>29</v>
      </c>
      <c r="M9" s="1" t="s">
        <v>2</v>
      </c>
      <c r="N9" s="8" t="s">
        <v>15</v>
      </c>
      <c r="O9" s="8" t="s">
        <v>30</v>
      </c>
      <c r="P9" s="1" t="s">
        <v>2</v>
      </c>
      <c r="Q9" s="8" t="s">
        <v>12</v>
      </c>
      <c r="R9" s="1" t="s">
        <v>2</v>
      </c>
      <c r="T9" s="6" t="s">
        <v>182</v>
      </c>
      <c r="U9" s="8" t="s">
        <v>31</v>
      </c>
      <c r="V9" s="1" t="s">
        <v>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">
      <c r="A10" s="1" t="s">
        <v>32</v>
      </c>
      <c r="B10" s="1" t="s">
        <v>2</v>
      </c>
      <c r="C10" s="6" t="s">
        <v>14</v>
      </c>
      <c r="D10" s="6" t="s">
        <v>33</v>
      </c>
      <c r="E10" s="6" t="s">
        <v>34</v>
      </c>
      <c r="F10" s="1" t="s">
        <v>2</v>
      </c>
      <c r="G10" s="6" t="s">
        <v>35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1" t="s">
        <v>2</v>
      </c>
      <c r="N10" s="8" t="s">
        <v>14</v>
      </c>
      <c r="O10" s="8" t="s">
        <v>41</v>
      </c>
      <c r="P10" s="1" t="s">
        <v>2</v>
      </c>
      <c r="Q10" s="10">
        <f>S501/O498</f>
        <v>0.25577674211452567</v>
      </c>
      <c r="R10" s="1" t="s">
        <v>2</v>
      </c>
      <c r="S10" s="74" t="s">
        <v>184</v>
      </c>
      <c r="T10" s="6" t="s">
        <v>183</v>
      </c>
      <c r="U10" s="8" t="s">
        <v>42</v>
      </c>
      <c r="V10" s="1" t="s">
        <v>2</v>
      </c>
      <c r="W10" s="11"/>
      <c r="X10" s="11"/>
      <c r="Y10" s="11"/>
      <c r="Z10" s="1"/>
      <c r="AA10" s="1"/>
      <c r="AB10" s="1"/>
      <c r="AC10" s="1"/>
      <c r="AD10" s="1"/>
      <c r="AE10" s="1"/>
      <c r="AF10" s="1"/>
      <c r="AG10" s="1"/>
    </row>
    <row r="11" spans="1:33" ht="18">
      <c r="A11" s="7" t="s">
        <v>3</v>
      </c>
      <c r="B11" s="1" t="s">
        <v>2</v>
      </c>
      <c r="C11" s="7" t="s">
        <v>3</v>
      </c>
      <c r="D11" s="7" t="s">
        <v>3</v>
      </c>
      <c r="E11" s="7" t="s">
        <v>3</v>
      </c>
      <c r="F11" s="1" t="s">
        <v>2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1" t="s">
        <v>2</v>
      </c>
      <c r="N11" s="7" t="s">
        <v>3</v>
      </c>
      <c r="O11" s="7" t="s">
        <v>3</v>
      </c>
      <c r="P11" s="1" t="s">
        <v>2</v>
      </c>
      <c r="Q11" s="7" t="s">
        <v>3</v>
      </c>
      <c r="R11" s="1" t="s">
        <v>2</v>
      </c>
      <c r="S11" s="75" t="s">
        <v>3</v>
      </c>
      <c r="T11" s="7" t="s">
        <v>3</v>
      </c>
      <c r="U11" s="7" t="s">
        <v>3</v>
      </c>
      <c r="V11" s="1" t="s">
        <v>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">
      <c r="A12" s="1" t="s">
        <v>43</v>
      </c>
      <c r="B12" s="1" t="s">
        <v>2</v>
      </c>
      <c r="C12" s="1"/>
      <c r="D12" s="1"/>
      <c r="E12" s="1">
        <f>D12+C12</f>
        <v>0</v>
      </c>
      <c r="F12" s="1" t="s">
        <v>2</v>
      </c>
      <c r="G12" s="1"/>
      <c r="H12" s="1"/>
      <c r="I12" s="1">
        <f>H12*0.5</f>
        <v>0</v>
      </c>
      <c r="J12" s="1"/>
      <c r="K12" s="1">
        <f>J12*0.25</f>
        <v>0</v>
      </c>
      <c r="L12" s="1">
        <f>+G12+I12+K12</f>
        <v>0</v>
      </c>
      <c r="M12" s="1" t="s">
        <v>2</v>
      </c>
      <c r="N12" s="1">
        <f>E12-L12</f>
        <v>0</v>
      </c>
      <c r="O12" s="1">
        <f>IF(N12&gt;=4000,(N12-4000)*0.9+2200,IF(N12&gt;=3000,(N12-3000)*0.8+1400,IF(N12&gt;=2000,(N12-2000)*0.6+800,IF(N12&gt;0,N12*0.4,0))))</f>
        <v>0</v>
      </c>
      <c r="P12" s="1" t="s">
        <v>2</v>
      </c>
      <c r="Q12" s="12" t="s">
        <v>44</v>
      </c>
      <c r="R12" s="1" t="s">
        <v>2</v>
      </c>
      <c r="S12" s="71">
        <f>ROUND(SUM(O12*$Q$10),0)</f>
        <v>0</v>
      </c>
      <c r="U12" s="1">
        <f>SUM(S12:T12)</f>
        <v>0</v>
      </c>
      <c r="V12" s="1" t="s">
        <v>2</v>
      </c>
      <c r="W12" s="13"/>
      <c r="X12" s="13"/>
      <c r="Y12" s="13"/>
      <c r="Z12" s="14"/>
      <c r="AA12" s="14"/>
      <c r="AB12" s="1"/>
      <c r="AC12" s="1"/>
      <c r="AD12" s="1"/>
      <c r="AE12" s="1"/>
      <c r="AF12" s="1"/>
      <c r="AG12" s="1"/>
    </row>
    <row r="13" spans="1:33" ht="18">
      <c r="A13" s="1" t="s">
        <v>45</v>
      </c>
      <c r="B13" s="1" t="s">
        <v>2</v>
      </c>
      <c r="C13" s="1"/>
      <c r="D13" s="1"/>
      <c r="E13" s="1">
        <f>D13+C13</f>
        <v>0</v>
      </c>
      <c r="F13" s="1" t="s">
        <v>2</v>
      </c>
      <c r="G13" s="1"/>
      <c r="H13" s="1"/>
      <c r="I13" s="1">
        <f>H13*0.5</f>
        <v>0</v>
      </c>
      <c r="J13" s="1"/>
      <c r="K13" s="1">
        <f>J13*0.25</f>
        <v>0</v>
      </c>
      <c r="L13" s="1">
        <f>+G13+I13+K13</f>
        <v>0</v>
      </c>
      <c r="M13" s="1" t="s">
        <v>2</v>
      </c>
      <c r="N13" s="1">
        <f>E13-L13</f>
        <v>0</v>
      </c>
      <c r="O13" s="1">
        <f>IF(N13&gt;=4000,(N13-4000)*0.9+2200,IF(N13&gt;=3000,(N13-3000)*0.8+1400,IF(N13&gt;=2000,(N13-2000)*0.6+800,IF(N13&gt;0,N13*0.4,0))))</f>
        <v>0</v>
      </c>
      <c r="P13" s="1" t="s">
        <v>2</v>
      </c>
      <c r="Q13" s="12" t="s">
        <v>44</v>
      </c>
      <c r="R13" s="1" t="s">
        <v>2</v>
      </c>
      <c r="S13" s="71">
        <f>ROUND(SUM(O13*$Q$10),0)</f>
        <v>0</v>
      </c>
      <c r="T13" s="1">
        <f>ROUND(SUM(S13*0.1),0)</f>
        <v>0</v>
      </c>
      <c r="U13" s="1">
        <f>SUM(S13:T13)</f>
        <v>0</v>
      </c>
      <c r="V13" s="1" t="s">
        <v>2</v>
      </c>
      <c r="W13" s="1"/>
      <c r="X13" s="1"/>
      <c r="Y13" s="1"/>
      <c r="Z13" s="14"/>
      <c r="AA13" s="14"/>
      <c r="AB13" s="1"/>
      <c r="AC13" s="1"/>
      <c r="AD13" s="1"/>
      <c r="AE13" s="1"/>
      <c r="AF13" s="1"/>
      <c r="AG13" s="1"/>
    </row>
    <row r="14" spans="1:33" ht="18">
      <c r="A14" s="1" t="s">
        <v>46</v>
      </c>
      <c r="B14" s="1" t="s">
        <v>2</v>
      </c>
      <c r="C14" s="1"/>
      <c r="D14" s="1"/>
      <c r="E14" s="1">
        <f>D14+C14</f>
        <v>0</v>
      </c>
      <c r="F14" s="1" t="s">
        <v>2</v>
      </c>
      <c r="G14" s="1"/>
      <c r="H14" s="1"/>
      <c r="I14" s="1">
        <f>H14*0.5</f>
        <v>0</v>
      </c>
      <c r="J14" s="1"/>
      <c r="K14" s="1">
        <f>J14*0.25</f>
        <v>0</v>
      </c>
      <c r="L14" s="1">
        <f>+G14+I14+K14</f>
        <v>0</v>
      </c>
      <c r="M14" s="1" t="s">
        <v>2</v>
      </c>
      <c r="N14" s="1">
        <f>E14-L14</f>
        <v>0</v>
      </c>
      <c r="O14" s="1">
        <f>IF(N14&gt;=4000,(N14-4000)*0.9+2200,IF(N14&gt;=3000,(N14-3000)*0.8+1400,IF(N14&gt;=2000,(N14-2000)*0.6+800,IF(N14&gt;0,N14*0.4,0))))</f>
        <v>0</v>
      </c>
      <c r="P14" s="1" t="s">
        <v>2</v>
      </c>
      <c r="Q14" s="12" t="s">
        <v>44</v>
      </c>
      <c r="R14" s="1" t="s">
        <v>2</v>
      </c>
      <c r="S14" s="71">
        <f>ROUND(SUM(O14*$Q$10),0)</f>
        <v>0</v>
      </c>
      <c r="T14" s="1">
        <f>ROUND(SUM(S14*0.1),0)</f>
        <v>0</v>
      </c>
      <c r="U14" s="1">
        <f>SUM(S14:T14)</f>
        <v>0</v>
      </c>
      <c r="V14" s="1" t="s">
        <v>2</v>
      </c>
      <c r="W14" s="13"/>
      <c r="X14" s="13"/>
      <c r="Y14" s="13"/>
      <c r="Z14" s="14"/>
      <c r="AA14" s="14"/>
      <c r="AB14" s="1"/>
      <c r="AC14" s="1"/>
      <c r="AD14" s="1"/>
      <c r="AE14" s="1"/>
      <c r="AF14" s="1"/>
      <c r="AG14" s="1"/>
    </row>
    <row r="15" spans="1:33" ht="18">
      <c r="A15" s="1" t="s">
        <v>47</v>
      </c>
      <c r="B15" s="1" t="s">
        <v>2</v>
      </c>
      <c r="C15" s="1"/>
      <c r="D15" s="1"/>
      <c r="E15" s="1">
        <f>D15+C15</f>
        <v>0</v>
      </c>
      <c r="F15" s="1" t="s">
        <v>2</v>
      </c>
      <c r="G15" s="1"/>
      <c r="H15" s="1"/>
      <c r="I15" s="1">
        <f>H15*0.5</f>
        <v>0</v>
      </c>
      <c r="J15" s="1"/>
      <c r="K15" s="1">
        <f>J15*0.25</f>
        <v>0</v>
      </c>
      <c r="L15" s="1">
        <f>+G15+I15+K15</f>
        <v>0</v>
      </c>
      <c r="M15" s="1" t="s">
        <v>2</v>
      </c>
      <c r="N15" s="1">
        <f>E15-L15</f>
        <v>0</v>
      </c>
      <c r="O15" s="1">
        <f>IF(N15&gt;=4000,(N15-4000)*0.9+2200,IF(N15&gt;=3000,(N15-3000)*0.8+1400,IF(N15&gt;=2000,(N15-2000)*0.6+800,IF(N15&gt;0,N15*0.4,0))))</f>
        <v>0</v>
      </c>
      <c r="P15" s="1" t="s">
        <v>2</v>
      </c>
      <c r="Q15" s="12" t="s">
        <v>44</v>
      </c>
      <c r="R15" s="1" t="s">
        <v>2</v>
      </c>
      <c r="S15" s="71">
        <f>ROUND(SUM(O15*$Q$10),0)</f>
        <v>0</v>
      </c>
      <c r="T15" s="1">
        <f>ROUND(SUM(S15*0.1),0)</f>
        <v>0</v>
      </c>
      <c r="U15" s="1">
        <f>SUM(S15:T15)</f>
        <v>0</v>
      </c>
      <c r="V15" s="1" t="s">
        <v>2</v>
      </c>
      <c r="W15" s="1"/>
      <c r="X15" s="1"/>
      <c r="Y15" s="1"/>
      <c r="Z15" s="14"/>
      <c r="AA15" s="14"/>
      <c r="AB15" s="1"/>
      <c r="AC15" s="1"/>
      <c r="AD15" s="1"/>
      <c r="AE15" s="1"/>
      <c r="AF15" s="1"/>
      <c r="AG15" s="1"/>
    </row>
    <row r="16" spans="1:33" ht="18">
      <c r="A16" s="1"/>
      <c r="B16" s="1" t="s">
        <v>2</v>
      </c>
      <c r="C16" s="1"/>
      <c r="D16" s="1"/>
      <c r="E16" s="1">
        <f>D16+C16</f>
        <v>0</v>
      </c>
      <c r="F16" s="1" t="s">
        <v>2</v>
      </c>
      <c r="G16" s="1"/>
      <c r="H16" s="1"/>
      <c r="I16" s="1">
        <f>H16*0.5</f>
        <v>0</v>
      </c>
      <c r="J16" s="1"/>
      <c r="K16" s="1">
        <f>J16*0.25</f>
        <v>0</v>
      </c>
      <c r="L16" s="1">
        <f>+G16+I16+K16</f>
        <v>0</v>
      </c>
      <c r="M16" s="1" t="s">
        <v>2</v>
      </c>
      <c r="N16" s="1">
        <f>E16-L16</f>
        <v>0</v>
      </c>
      <c r="O16" s="1">
        <f>IF(N16&gt;=4000,(N16-4000)*0.9+2200,IF(N16&gt;=3000,(N16-3000)*0.8+1400,IF(N16&gt;=2000,(N16-2000)*0.6+800,IF(N16&gt;0,N16*0.4,0))))</f>
        <v>0</v>
      </c>
      <c r="P16" s="1" t="s">
        <v>2</v>
      </c>
      <c r="Q16" s="12" t="s">
        <v>44</v>
      </c>
      <c r="R16" s="1" t="s">
        <v>2</v>
      </c>
      <c r="S16" s="71">
        <f>ROUND(SUM(O16*$Q$10),0)</f>
        <v>0</v>
      </c>
      <c r="T16" s="1">
        <f>ROUND(SUM(S16*0.1),0)</f>
        <v>0</v>
      </c>
      <c r="U16" s="1">
        <f>SUM(S16:T16)</f>
        <v>0</v>
      </c>
      <c r="V16" s="1" t="s">
        <v>2</v>
      </c>
      <c r="W16" s="1"/>
      <c r="X16" s="1"/>
      <c r="Y16" s="1"/>
      <c r="Z16" s="14"/>
      <c r="AA16" s="14"/>
      <c r="AB16" s="1"/>
      <c r="AC16" s="1"/>
      <c r="AD16" s="1"/>
      <c r="AE16" s="1"/>
      <c r="AF16" s="1"/>
      <c r="AG16" s="1"/>
    </row>
    <row r="17" spans="1:33" ht="18">
      <c r="A17" s="7" t="s">
        <v>3</v>
      </c>
      <c r="B17" s="1" t="s">
        <v>2</v>
      </c>
      <c r="C17" s="7" t="s">
        <v>3</v>
      </c>
      <c r="D17" s="7" t="s">
        <v>3</v>
      </c>
      <c r="E17" s="7" t="s">
        <v>3</v>
      </c>
      <c r="F17" s="1" t="s">
        <v>2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 t="s">
        <v>3</v>
      </c>
      <c r="M17" s="1" t="s">
        <v>2</v>
      </c>
      <c r="N17" s="7" t="s">
        <v>3</v>
      </c>
      <c r="O17" s="7" t="s">
        <v>3</v>
      </c>
      <c r="P17" s="1" t="s">
        <v>2</v>
      </c>
      <c r="Q17" s="1"/>
      <c r="R17" s="1" t="s">
        <v>2</v>
      </c>
      <c r="S17" s="75" t="s">
        <v>3</v>
      </c>
      <c r="T17" s="7" t="s">
        <v>3</v>
      </c>
      <c r="U17" s="7" t="s">
        <v>3</v>
      </c>
      <c r="V17" s="1" t="s">
        <v>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>
      <c r="A18" s="1" t="s">
        <v>48</v>
      </c>
      <c r="B18" s="1" t="s">
        <v>2</v>
      </c>
      <c r="C18" s="1">
        <f>SUM(C12:C16)</f>
        <v>0</v>
      </c>
      <c r="D18" s="1">
        <f>SUM(D12:D16)</f>
        <v>0</v>
      </c>
      <c r="E18" s="1">
        <f>SUM(E12:E16)</f>
        <v>0</v>
      </c>
      <c r="F18" s="1" t="s">
        <v>2</v>
      </c>
      <c r="G18" s="1">
        <f aca="true" t="shared" si="0" ref="G18:L18">SUM(G12:G16)</f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 t="s">
        <v>2</v>
      </c>
      <c r="N18" s="1">
        <f>SUM(N12:N16)</f>
        <v>0</v>
      </c>
      <c r="O18" s="1">
        <f>SUM(O12:O16)</f>
        <v>0</v>
      </c>
      <c r="P18" s="1" t="s">
        <v>2</v>
      </c>
      <c r="Q18" s="6" t="s">
        <v>49</v>
      </c>
      <c r="R18" s="1" t="s">
        <v>2</v>
      </c>
      <c r="S18" s="71">
        <f>SUM(S12:S16)</f>
        <v>0</v>
      </c>
      <c r="T18" s="1">
        <f>SUM(T13:T16)</f>
        <v>0</v>
      </c>
      <c r="U18" s="1">
        <f>SUM(U12:U16)</f>
        <v>0</v>
      </c>
      <c r="V18" s="1" t="s">
        <v>2</v>
      </c>
      <c r="W18" s="1"/>
      <c r="X18" s="1"/>
      <c r="Y18" s="1"/>
      <c r="Z18" s="14"/>
      <c r="AA18" s="14"/>
      <c r="AB18" s="1"/>
      <c r="AC18" s="1"/>
      <c r="AD18" s="1"/>
      <c r="AE18" s="1"/>
      <c r="AF18" s="1"/>
      <c r="AG18" s="1"/>
    </row>
    <row r="19" spans="1:33" ht="18">
      <c r="A19" s="7" t="s">
        <v>3</v>
      </c>
      <c r="B19" s="1" t="s">
        <v>2</v>
      </c>
      <c r="C19" s="7" t="s">
        <v>3</v>
      </c>
      <c r="D19" s="7" t="s">
        <v>3</v>
      </c>
      <c r="E19" s="7" t="s">
        <v>3</v>
      </c>
      <c r="F19" s="1" t="s">
        <v>2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7" t="s">
        <v>3</v>
      </c>
      <c r="M19" s="1" t="s">
        <v>2</v>
      </c>
      <c r="N19" s="7" t="s">
        <v>3</v>
      </c>
      <c r="O19" s="7" t="s">
        <v>3</v>
      </c>
      <c r="P19" s="1" t="s">
        <v>2</v>
      </c>
      <c r="Q19" s="1"/>
      <c r="R19" s="1" t="s">
        <v>2</v>
      </c>
      <c r="S19" s="75" t="s">
        <v>3</v>
      </c>
      <c r="T19" s="7" t="s">
        <v>3</v>
      </c>
      <c r="U19" s="7" t="s">
        <v>3</v>
      </c>
      <c r="V19" s="1" t="s">
        <v>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6" spans="1:33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76"/>
      <c r="T27" s="15"/>
      <c r="U27" s="15"/>
      <c r="V27" s="15"/>
      <c r="W27" s="15"/>
      <c r="X27" s="15"/>
      <c r="Y27" s="15"/>
      <c r="Z27" s="1"/>
      <c r="AA27" s="1"/>
      <c r="AB27" s="1"/>
      <c r="AC27" s="1"/>
      <c r="AD27" s="1"/>
      <c r="AE27" s="1"/>
      <c r="AF27" s="1"/>
      <c r="AG27" s="1"/>
    </row>
    <row r="28" spans="1:33" ht="21">
      <c r="A28" s="15" t="s">
        <v>0</v>
      </c>
      <c r="B28" s="15"/>
      <c r="C28" s="15"/>
      <c r="D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6"/>
      <c r="T28" s="15"/>
      <c r="U28" s="15"/>
      <c r="V28" s="15"/>
      <c r="W28" s="15"/>
      <c r="X28" s="15"/>
      <c r="Y28" s="15"/>
      <c r="Z28" s="1"/>
      <c r="AA28" s="1"/>
      <c r="AB28" s="1"/>
      <c r="AC28" s="1"/>
      <c r="AD28" s="1"/>
      <c r="AE28" s="1"/>
      <c r="AF28" s="1"/>
      <c r="AG28" s="1"/>
    </row>
    <row r="29" spans="1:53" ht="21">
      <c r="A29" s="15" t="str">
        <f>$A$3</f>
        <v>MISSION &amp; SERVICE BUDGET APPORTIONMENT 2022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6"/>
      <c r="T29" s="15"/>
      <c r="U29" s="15"/>
      <c r="V29" s="15"/>
      <c r="W29" s="15"/>
      <c r="X29" s="15"/>
      <c r="Y29" s="15"/>
      <c r="Z29" s="1"/>
      <c r="AA29" s="1"/>
      <c r="AB29" s="1"/>
      <c r="AC29" s="1"/>
      <c r="AD29" s="1"/>
      <c r="AE29" s="1"/>
      <c r="AF29" s="1"/>
      <c r="AG29" s="1"/>
      <c r="BA29" s="16"/>
    </row>
    <row r="30" spans="1:53" ht="2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6"/>
      <c r="T30" s="15"/>
      <c r="U30" s="15"/>
      <c r="V30" s="15"/>
      <c r="W30" s="15"/>
      <c r="X30" s="15"/>
      <c r="Y30" s="15"/>
      <c r="Z30" s="1"/>
      <c r="AA30" s="1"/>
      <c r="AB30" s="1"/>
      <c r="AC30" s="1"/>
      <c r="AD30" s="1"/>
      <c r="AE30" s="1"/>
      <c r="AF30" s="1"/>
      <c r="AG30" s="1"/>
      <c r="BA30" s="16"/>
    </row>
    <row r="31" spans="1:53" ht="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6"/>
      <c r="T31" s="15"/>
      <c r="U31" s="15"/>
      <c r="V31" s="15"/>
      <c r="W31" s="15"/>
      <c r="X31" s="15"/>
      <c r="Y31" s="15"/>
      <c r="Z31" s="1"/>
      <c r="AA31" s="1"/>
      <c r="AB31" s="1"/>
      <c r="AC31" s="1"/>
      <c r="AD31" s="1"/>
      <c r="AE31" s="1"/>
      <c r="AF31" s="1"/>
      <c r="AG31" s="1"/>
      <c r="BA31" s="16"/>
    </row>
    <row r="32" spans="1:53" ht="21">
      <c r="A32" s="15" t="s">
        <v>50</v>
      </c>
      <c r="B32" s="18" t="s">
        <v>2</v>
      </c>
      <c r="C32" s="15" t="str">
        <f>$D$5</f>
        <v>2020 expenses</v>
      </c>
      <c r="D32" s="15"/>
      <c r="E32" s="15"/>
      <c r="F32" s="15" t="s">
        <v>2</v>
      </c>
      <c r="G32" s="19" t="s">
        <v>3</v>
      </c>
      <c r="H32" s="19" t="s">
        <v>3</v>
      </c>
      <c r="I32" s="19" t="s">
        <v>3</v>
      </c>
      <c r="J32" s="18" t="s">
        <v>4</v>
      </c>
      <c r="K32" s="19" t="s">
        <v>3</v>
      </c>
      <c r="L32" s="19" t="s">
        <v>3</v>
      </c>
      <c r="M32" s="15" t="s">
        <v>2</v>
      </c>
      <c r="N32" s="15" t="s">
        <v>5</v>
      </c>
      <c r="O32" s="15"/>
      <c r="P32" s="15" t="s">
        <v>2</v>
      </c>
      <c r="Q32" s="18" t="s">
        <v>6</v>
      </c>
      <c r="R32" s="15" t="s">
        <v>2</v>
      </c>
      <c r="S32" s="76" t="str">
        <f>+S5</f>
        <v>------------------------</v>
      </c>
      <c r="T32" s="18" t="str">
        <f>+T5</f>
        <v>APPORTIONMENT</v>
      </c>
      <c r="U32" s="15" t="str">
        <f>+U5</f>
        <v>---------------------</v>
      </c>
      <c r="V32" s="15" t="s">
        <v>2</v>
      </c>
      <c r="W32" s="15"/>
      <c r="X32" s="15"/>
      <c r="Y32" s="15"/>
      <c r="Z32" s="1"/>
      <c r="AA32" s="1"/>
      <c r="AB32" s="1"/>
      <c r="AC32" s="1"/>
      <c r="AD32" s="1"/>
      <c r="AE32" s="1"/>
      <c r="AF32" s="1"/>
      <c r="AG32" s="1"/>
      <c r="BA32" s="16"/>
    </row>
    <row r="33" spans="1:53" ht="21">
      <c r="A33" s="15"/>
      <c r="B33" s="18" t="s">
        <v>2</v>
      </c>
      <c r="C33" s="15"/>
      <c r="D33" s="15"/>
      <c r="E33" s="15"/>
      <c r="F33" s="15" t="s">
        <v>2</v>
      </c>
      <c r="G33" s="15"/>
      <c r="H33" s="15"/>
      <c r="I33" s="15"/>
      <c r="J33" s="15"/>
      <c r="K33" s="15"/>
      <c r="L33" s="15"/>
      <c r="M33" s="15" t="s">
        <v>2</v>
      </c>
      <c r="N33" s="15"/>
      <c r="O33" s="20" t="s">
        <v>8</v>
      </c>
      <c r="P33" s="15" t="s">
        <v>2</v>
      </c>
      <c r="Q33" s="15"/>
      <c r="R33" s="15" t="s">
        <v>2</v>
      </c>
      <c r="S33" s="76"/>
      <c r="T33" s="15"/>
      <c r="U33" s="15"/>
      <c r="V33" s="15" t="s">
        <v>2</v>
      </c>
      <c r="W33" s="15"/>
      <c r="X33" s="15"/>
      <c r="Y33" s="15"/>
      <c r="Z33" s="1"/>
      <c r="AA33" s="1"/>
      <c r="AB33" s="1"/>
      <c r="AC33" s="1"/>
      <c r="AD33" s="1"/>
      <c r="AE33" s="1"/>
      <c r="AF33" s="1"/>
      <c r="AG33" s="1"/>
      <c r="BA33" s="16"/>
    </row>
    <row r="34" spans="1:53" ht="21">
      <c r="A34" s="15"/>
      <c r="B34" s="18" t="s">
        <v>2</v>
      </c>
      <c r="C34" s="15"/>
      <c r="D34" s="15"/>
      <c r="E34" s="18" t="s">
        <v>9</v>
      </c>
      <c r="F34" s="15" t="s">
        <v>2</v>
      </c>
      <c r="G34" s="15"/>
      <c r="H34" s="15"/>
      <c r="I34" s="15"/>
      <c r="J34" s="20" t="s">
        <v>10</v>
      </c>
      <c r="K34" s="20" t="s">
        <v>11</v>
      </c>
      <c r="L34" s="15"/>
      <c r="M34" s="15" t="s">
        <v>2</v>
      </c>
      <c r="N34" s="15"/>
      <c r="O34" s="20" t="s">
        <v>12</v>
      </c>
      <c r="P34" s="15" t="s">
        <v>2</v>
      </c>
      <c r="Q34" s="18" t="s">
        <v>13</v>
      </c>
      <c r="R34" s="15" t="s">
        <v>2</v>
      </c>
      <c r="S34" s="76"/>
      <c r="U34" s="15"/>
      <c r="V34" s="15" t="s">
        <v>2</v>
      </c>
      <c r="W34" s="15"/>
      <c r="X34" s="15"/>
      <c r="Y34" s="15"/>
      <c r="Z34" s="1"/>
      <c r="AA34" s="1"/>
      <c r="AB34" s="1"/>
      <c r="AC34" s="1"/>
      <c r="AD34" s="1"/>
      <c r="AE34" s="1"/>
      <c r="AF34" s="1"/>
      <c r="AG34" s="1"/>
      <c r="BA34" s="16"/>
    </row>
    <row r="35" spans="1:53" ht="22.5">
      <c r="A35" s="15"/>
      <c r="B35" s="18" t="s">
        <v>2</v>
      </c>
      <c r="C35" s="15"/>
      <c r="D35" s="18" t="s">
        <v>14</v>
      </c>
      <c r="E35" s="18" t="s">
        <v>15</v>
      </c>
      <c r="F35" s="15" t="s">
        <v>2</v>
      </c>
      <c r="G35" s="20" t="s">
        <v>215</v>
      </c>
      <c r="H35" s="20" t="s">
        <v>16</v>
      </c>
      <c r="I35" s="20" t="s">
        <v>17</v>
      </c>
      <c r="J35" s="20" t="s">
        <v>18</v>
      </c>
      <c r="K35" s="20" t="s">
        <v>19</v>
      </c>
      <c r="L35" s="20" t="s">
        <v>9</v>
      </c>
      <c r="M35" s="15" t="s">
        <v>2</v>
      </c>
      <c r="N35" s="20" t="s">
        <v>20</v>
      </c>
      <c r="O35" s="20" t="s">
        <v>21</v>
      </c>
      <c r="P35" s="15" t="s">
        <v>2</v>
      </c>
      <c r="Q35" s="20" t="s">
        <v>22</v>
      </c>
      <c r="R35" s="15" t="s">
        <v>2</v>
      </c>
      <c r="S35" s="76"/>
      <c r="T35" s="9" t="s">
        <v>23</v>
      </c>
      <c r="U35" s="15"/>
      <c r="V35" s="15" t="s">
        <v>2</v>
      </c>
      <c r="W35" s="15"/>
      <c r="X35" s="15"/>
      <c r="Y35" s="15"/>
      <c r="Z35" s="1"/>
      <c r="AA35" s="1"/>
      <c r="AB35" s="1"/>
      <c r="AC35" s="1"/>
      <c r="AD35" s="1"/>
      <c r="AE35" s="1"/>
      <c r="AF35" s="1"/>
      <c r="AG35" s="1"/>
      <c r="AK35" s="60" t="s">
        <v>513</v>
      </c>
      <c r="AS35" s="60" t="s">
        <v>505</v>
      </c>
      <c r="BA35" s="61" t="s">
        <v>506</v>
      </c>
    </row>
    <row r="36" spans="1:53" ht="21">
      <c r="A36" s="15"/>
      <c r="B36" s="18" t="s">
        <v>2</v>
      </c>
      <c r="C36" s="18" t="s">
        <v>15</v>
      </c>
      <c r="D36" s="18" t="s">
        <v>25</v>
      </c>
      <c r="E36" s="18" t="s">
        <v>14</v>
      </c>
      <c r="F36" s="15" t="s">
        <v>2</v>
      </c>
      <c r="G36" s="20" t="s">
        <v>216</v>
      </c>
      <c r="H36" s="20" t="s">
        <v>26</v>
      </c>
      <c r="I36" s="20" t="s">
        <v>16</v>
      </c>
      <c r="J36" s="20" t="s">
        <v>27</v>
      </c>
      <c r="K36" s="20" t="s">
        <v>28</v>
      </c>
      <c r="L36" s="20" t="s">
        <v>29</v>
      </c>
      <c r="M36" s="15" t="s">
        <v>2</v>
      </c>
      <c r="N36" s="20" t="s">
        <v>15</v>
      </c>
      <c r="O36" s="20" t="s">
        <v>30</v>
      </c>
      <c r="P36" s="15" t="s">
        <v>2</v>
      </c>
      <c r="Q36" s="20" t="s">
        <v>12</v>
      </c>
      <c r="R36" s="15" t="s">
        <v>2</v>
      </c>
      <c r="T36" s="18" t="str">
        <f>+T9</f>
        <v>Extra</v>
      </c>
      <c r="U36" s="20" t="s">
        <v>31</v>
      </c>
      <c r="V36" s="15" t="s">
        <v>2</v>
      </c>
      <c r="W36" s="15"/>
      <c r="X36" s="15"/>
      <c r="Y36" s="15"/>
      <c r="Z36" s="1"/>
      <c r="AA36" s="1"/>
      <c r="AB36" s="1"/>
      <c r="AC36" s="1"/>
      <c r="AD36" s="1"/>
      <c r="AE36" s="1"/>
      <c r="AF36" s="1"/>
      <c r="AG36" s="1"/>
      <c r="BA36" s="16"/>
    </row>
    <row r="37" spans="1:61" ht="21">
      <c r="A37" s="21"/>
      <c r="B37" s="18" t="s">
        <v>2</v>
      </c>
      <c r="C37" s="18" t="s">
        <v>14</v>
      </c>
      <c r="D37" s="18" t="s">
        <v>33</v>
      </c>
      <c r="E37" s="18" t="s">
        <v>34</v>
      </c>
      <c r="F37" s="15" t="s">
        <v>2</v>
      </c>
      <c r="G37" s="20" t="s">
        <v>35</v>
      </c>
      <c r="H37" s="20" t="s">
        <v>36</v>
      </c>
      <c r="I37" s="20" t="s">
        <v>37</v>
      </c>
      <c r="J37" s="20" t="s">
        <v>38</v>
      </c>
      <c r="K37" s="20" t="s">
        <v>39</v>
      </c>
      <c r="L37" s="20" t="s">
        <v>40</v>
      </c>
      <c r="M37" s="15" t="s">
        <v>2</v>
      </c>
      <c r="N37" s="20" t="s">
        <v>14</v>
      </c>
      <c r="O37" s="20" t="s">
        <v>41</v>
      </c>
      <c r="P37" s="15" t="s">
        <v>2</v>
      </c>
      <c r="Q37" s="22">
        <f>Q10</f>
        <v>0.25577674211452567</v>
      </c>
      <c r="R37" s="15" t="s">
        <v>2</v>
      </c>
      <c r="S37" s="77" t="str">
        <f>+S10</f>
        <v>Apportionment</v>
      </c>
      <c r="T37" s="18" t="str">
        <f>+T10</f>
        <v>Mile</v>
      </c>
      <c r="U37" s="20" t="s">
        <v>42</v>
      </c>
      <c r="V37" s="15" t="s">
        <v>2</v>
      </c>
      <c r="W37" s="23"/>
      <c r="X37" s="23"/>
      <c r="Y37" s="23"/>
      <c r="Z37" s="1"/>
      <c r="AA37" s="1"/>
      <c r="AB37" s="1"/>
      <c r="AC37" s="1"/>
      <c r="AD37" s="1"/>
      <c r="AE37" s="1"/>
      <c r="AF37" s="1"/>
      <c r="AG37" s="1"/>
      <c r="BI37" s="16"/>
    </row>
    <row r="38" spans="1:65" ht="127.5" thickBot="1">
      <c r="A38" s="19" t="s">
        <v>3</v>
      </c>
      <c r="B38" s="21" t="s">
        <v>3</v>
      </c>
      <c r="C38" s="19" t="s">
        <v>3</v>
      </c>
      <c r="D38" s="19" t="s">
        <v>3</v>
      </c>
      <c r="E38" s="19" t="s">
        <v>3</v>
      </c>
      <c r="F38" s="15"/>
      <c r="G38" s="19" t="s">
        <v>3</v>
      </c>
      <c r="H38" s="19" t="s">
        <v>3</v>
      </c>
      <c r="I38" s="19" t="s">
        <v>3</v>
      </c>
      <c r="J38" s="19" t="s">
        <v>3</v>
      </c>
      <c r="K38" s="19" t="s">
        <v>3</v>
      </c>
      <c r="L38" s="19" t="s">
        <v>3</v>
      </c>
      <c r="M38" s="15"/>
      <c r="N38" s="19" t="s">
        <v>3</v>
      </c>
      <c r="O38" s="19" t="s">
        <v>3</v>
      </c>
      <c r="P38" s="15"/>
      <c r="Q38" s="19" t="s">
        <v>3</v>
      </c>
      <c r="R38" s="15"/>
      <c r="S38" s="78" t="s">
        <v>3</v>
      </c>
      <c r="T38" s="19" t="s">
        <v>3</v>
      </c>
      <c r="U38" s="19" t="s">
        <v>3</v>
      </c>
      <c r="V38" s="15"/>
      <c r="W38" s="15"/>
      <c r="X38" s="69" t="s">
        <v>577</v>
      </c>
      <c r="Y38" s="69" t="s">
        <v>508</v>
      </c>
      <c r="Z38" s="24">
        <v>2020</v>
      </c>
      <c r="AA38" s="24">
        <v>2019</v>
      </c>
      <c r="AB38" s="24">
        <v>2018</v>
      </c>
      <c r="AC38" s="25" t="s">
        <v>394</v>
      </c>
      <c r="AD38" s="26"/>
      <c r="AE38" s="1"/>
      <c r="AF38" s="1"/>
      <c r="AG38" s="1"/>
      <c r="AK38" s="27" t="s">
        <v>379</v>
      </c>
      <c r="AL38" s="27" t="s">
        <v>380</v>
      </c>
      <c r="AM38" s="27" t="s">
        <v>381</v>
      </c>
      <c r="AN38" s="27" t="s">
        <v>382</v>
      </c>
      <c r="AO38" s="27" t="s">
        <v>383</v>
      </c>
      <c r="AS38" s="27" t="s">
        <v>379</v>
      </c>
      <c r="AT38" s="27" t="s">
        <v>380</v>
      </c>
      <c r="AU38" s="27" t="s">
        <v>381</v>
      </c>
      <c r="AV38" s="27" t="s">
        <v>382</v>
      </c>
      <c r="AW38" s="27" t="s">
        <v>383</v>
      </c>
      <c r="BA38" s="59" t="s">
        <v>416</v>
      </c>
      <c r="BB38" s="59" t="s">
        <v>380</v>
      </c>
      <c r="BC38" s="59" t="s">
        <v>381</v>
      </c>
      <c r="BD38" s="59" t="s">
        <v>382</v>
      </c>
      <c r="BE38" s="59" t="s">
        <v>383</v>
      </c>
      <c r="BF38" s="54"/>
      <c r="BI38" s="27" t="s">
        <v>379</v>
      </c>
      <c r="BJ38" s="27" t="s">
        <v>380</v>
      </c>
      <c r="BK38" s="27" t="s">
        <v>381</v>
      </c>
      <c r="BL38" s="27" t="s">
        <v>382</v>
      </c>
      <c r="BM38" s="27" t="s">
        <v>383</v>
      </c>
    </row>
    <row r="39" spans="1:66" ht="21">
      <c r="A39" s="15" t="s">
        <v>51</v>
      </c>
      <c r="B39" s="28"/>
      <c r="C39" s="29">
        <f>AK39</f>
        <v>183720</v>
      </c>
      <c r="D39" s="21">
        <f>AL39</f>
        <v>1247</v>
      </c>
      <c r="E39" s="15">
        <f>D39+C39</f>
        <v>184967</v>
      </c>
      <c r="F39" s="15"/>
      <c r="G39" s="15">
        <f>AM39</f>
        <v>0</v>
      </c>
      <c r="H39" s="21">
        <f>AN39</f>
        <v>21500</v>
      </c>
      <c r="I39" s="15">
        <f>H39*0.5</f>
        <v>10750</v>
      </c>
      <c r="J39" s="21">
        <f>AO39</f>
        <v>0</v>
      </c>
      <c r="K39" s="15">
        <f>J39*0.25</f>
        <v>0</v>
      </c>
      <c r="L39" s="15">
        <f>+G39+I39+K39</f>
        <v>10750</v>
      </c>
      <c r="M39" s="15"/>
      <c r="N39" s="15">
        <f>E39-L39</f>
        <v>174217</v>
      </c>
      <c r="O39" s="15">
        <f>IF(N39&gt;=4000,(N39-4000)*0.9+2200,IF(N39&gt;=3000,(N39-3000)*0.8+1400,IF(N39&gt;=2000,(N39-2000)*0.6+800,IF(N39&gt;0,N39*0.4,0))))</f>
        <v>155395.30000000002</v>
      </c>
      <c r="P39" s="15"/>
      <c r="Q39" s="30" t="s">
        <v>44</v>
      </c>
      <c r="R39" s="15"/>
      <c r="S39" s="76">
        <f>ROUND(SUM(O39*$Q$10),0)</f>
        <v>39747</v>
      </c>
      <c r="T39" s="15">
        <f>ROUND(SUM(S39*0.1),0)</f>
        <v>3975</v>
      </c>
      <c r="U39" s="15">
        <f>SUM(S39:T39)</f>
        <v>43722</v>
      </c>
      <c r="V39" s="15"/>
      <c r="W39" s="15" t="s">
        <v>51</v>
      </c>
      <c r="X39" s="15">
        <f>S39</f>
        <v>39747</v>
      </c>
      <c r="Y39" s="15">
        <v>38034</v>
      </c>
      <c r="Z39" s="15">
        <v>33397</v>
      </c>
      <c r="AA39" s="15">
        <v>43320</v>
      </c>
      <c r="AB39" s="31">
        <v>36472</v>
      </c>
      <c r="AC39" s="15">
        <f>Z39-AA39</f>
        <v>-9923</v>
      </c>
      <c r="AD39" s="1"/>
      <c r="AE39" s="1">
        <v>1</v>
      </c>
      <c r="AF39" s="1" t="s">
        <v>51</v>
      </c>
      <c r="AG39" s="1">
        <v>43320</v>
      </c>
      <c r="AJ39" s="81" t="s">
        <v>520</v>
      </c>
      <c r="AK39" s="83">
        <v>183720</v>
      </c>
      <c r="AL39" s="81">
        <v>1247</v>
      </c>
      <c r="AM39" s="81">
        <v>0</v>
      </c>
      <c r="AN39" s="81">
        <v>21500</v>
      </c>
      <c r="AO39" s="81">
        <v>0</v>
      </c>
      <c r="AP39"/>
      <c r="AR39" s="32" t="s">
        <v>271</v>
      </c>
      <c r="AS39" s="57">
        <v>185598</v>
      </c>
      <c r="AT39" s="57">
        <v>1419</v>
      </c>
      <c r="AU39" s="57">
        <v>0</v>
      </c>
      <c r="AV39" s="57">
        <v>16504</v>
      </c>
      <c r="AW39" s="57">
        <v>0</v>
      </c>
      <c r="AX39" s="32"/>
      <c r="AY39" s="32"/>
      <c r="AZ39" s="32" t="s">
        <v>407</v>
      </c>
      <c r="BA39" s="57">
        <v>185598</v>
      </c>
      <c r="BB39" s="57">
        <v>1419</v>
      </c>
      <c r="BC39" s="57">
        <v>0</v>
      </c>
      <c r="BD39" s="57">
        <v>16504</v>
      </c>
      <c r="BE39" s="57">
        <v>0</v>
      </c>
      <c r="BH39" s="32" t="s">
        <v>271</v>
      </c>
      <c r="BI39" s="33">
        <v>154375</v>
      </c>
      <c r="BJ39" s="33">
        <v>920</v>
      </c>
      <c r="BK39" s="33">
        <v>0</v>
      </c>
      <c r="BL39" s="33">
        <v>9574</v>
      </c>
      <c r="BM39" s="33">
        <v>0</v>
      </c>
      <c r="BN39" s="32"/>
    </row>
    <row r="40" spans="1:66" ht="21">
      <c r="A40" s="15" t="s">
        <v>53</v>
      </c>
      <c r="B40" s="28"/>
      <c r="C40" s="29">
        <f aca="true" t="shared" si="1" ref="C40:C54">AK40</f>
        <v>47442</v>
      </c>
      <c r="D40" s="21">
        <f aca="true" t="shared" si="2" ref="D40:D54">AL40</f>
        <v>0</v>
      </c>
      <c r="E40" s="15">
        <f aca="true" t="shared" si="3" ref="E40:E54">D40+C40</f>
        <v>47442</v>
      </c>
      <c r="F40" s="15"/>
      <c r="G40" s="15">
        <f aca="true" t="shared" si="4" ref="G40:G54">AM40</f>
        <v>0</v>
      </c>
      <c r="H40" s="21">
        <f aca="true" t="shared" si="5" ref="H40:H54">AN40</f>
        <v>0</v>
      </c>
      <c r="I40" s="15">
        <f aca="true" t="shared" si="6" ref="I40:I54">H40*0.5</f>
        <v>0</v>
      </c>
      <c r="J40" s="21">
        <f aca="true" t="shared" si="7" ref="J40:J54">AO40</f>
        <v>0</v>
      </c>
      <c r="K40" s="15">
        <f aca="true" t="shared" si="8" ref="K40:K54">J40*0.25</f>
        <v>0</v>
      </c>
      <c r="L40" s="15">
        <f aca="true" t="shared" si="9" ref="L40:L54">+G40+I40+K40</f>
        <v>0</v>
      </c>
      <c r="M40" s="15"/>
      <c r="N40" s="15">
        <f aca="true" t="shared" si="10" ref="N40:N47">E40-L40</f>
        <v>47442</v>
      </c>
      <c r="O40" s="15">
        <f>IF(N40&gt;=4000,(N40-4000)*0.9+2200,IF(N40&gt;=3000,(N40-3000)*0.8+1400,IF(N40&gt;=2000,(N40-2000)*0.6+800,IF(N40&gt;0,N40*0.4,0))))</f>
        <v>41297.8</v>
      </c>
      <c r="P40" s="15"/>
      <c r="Q40" s="30" t="s">
        <v>44</v>
      </c>
      <c r="R40" s="15"/>
      <c r="S40" s="76">
        <f aca="true" t="shared" si="11" ref="S40:S47">ROUND(SUM(O40*$Q$10),0)</f>
        <v>10563</v>
      </c>
      <c r="T40" s="15">
        <f aca="true" t="shared" si="12" ref="T40:T47">ROUND(SUM(S40*0.1),0)</f>
        <v>1056</v>
      </c>
      <c r="U40" s="15">
        <f aca="true" t="shared" si="13" ref="U40:U47">SUM(S40:T40)</f>
        <v>11619</v>
      </c>
      <c r="V40" s="15"/>
      <c r="W40" s="15" t="s">
        <v>53</v>
      </c>
      <c r="X40" s="15">
        <f aca="true" t="shared" si="14" ref="X40:X54">S40</f>
        <v>10563</v>
      </c>
      <c r="Y40" s="15">
        <v>11720</v>
      </c>
      <c r="Z40" s="15">
        <v>10983</v>
      </c>
      <c r="AA40" s="15">
        <v>10548</v>
      </c>
      <c r="AB40" s="31">
        <v>9868</v>
      </c>
      <c r="AC40" s="15">
        <f aca="true" t="shared" si="15" ref="AC40:AC56">Z40-AA40</f>
        <v>435</v>
      </c>
      <c r="AD40" s="1"/>
      <c r="AE40" s="1">
        <v>1</v>
      </c>
      <c r="AF40" s="1" t="s">
        <v>53</v>
      </c>
      <c r="AG40" s="1">
        <v>10548</v>
      </c>
      <c r="AJ40" s="81" t="s">
        <v>516</v>
      </c>
      <c r="AK40" s="83">
        <v>47442</v>
      </c>
      <c r="AL40" s="81">
        <v>0</v>
      </c>
      <c r="AM40" s="81">
        <v>0</v>
      </c>
      <c r="AN40" s="81">
        <v>0</v>
      </c>
      <c r="AO40" s="81">
        <v>0</v>
      </c>
      <c r="AP40"/>
      <c r="AR40" s="32" t="s">
        <v>261</v>
      </c>
      <c r="AS40" s="57">
        <v>54082</v>
      </c>
      <c r="AT40" s="57">
        <v>2079</v>
      </c>
      <c r="AU40" s="57">
        <v>0</v>
      </c>
      <c r="AV40" s="57">
        <v>0</v>
      </c>
      <c r="AW40" s="57">
        <v>0</v>
      </c>
      <c r="AX40" s="32"/>
      <c r="AY40" s="32"/>
      <c r="AZ40" s="32" t="s">
        <v>408</v>
      </c>
      <c r="BA40" s="57">
        <v>54082</v>
      </c>
      <c r="BB40" s="57">
        <v>2079</v>
      </c>
      <c r="BC40" s="57">
        <v>0</v>
      </c>
      <c r="BD40" s="57">
        <v>0</v>
      </c>
      <c r="BE40" s="57">
        <v>0</v>
      </c>
      <c r="BH40" s="32" t="s">
        <v>261</v>
      </c>
      <c r="BI40" s="33">
        <v>49414.2</v>
      </c>
      <c r="BJ40" s="33">
        <v>2260.8</v>
      </c>
      <c r="BK40" s="33">
        <v>0</v>
      </c>
      <c r="BL40" s="33">
        <v>0</v>
      </c>
      <c r="BM40" s="33">
        <v>4537.02</v>
      </c>
      <c r="BN40" s="32"/>
    </row>
    <row r="41" spans="1:66" ht="21">
      <c r="A41" s="15" t="s">
        <v>223</v>
      </c>
      <c r="B41" s="28"/>
      <c r="C41" s="29">
        <f t="shared" si="1"/>
        <v>245982</v>
      </c>
      <c r="D41" s="21">
        <f t="shared" si="2"/>
        <v>0</v>
      </c>
      <c r="E41" s="15">
        <f t="shared" si="3"/>
        <v>245982</v>
      </c>
      <c r="F41" s="15"/>
      <c r="G41" s="15">
        <f t="shared" si="4"/>
        <v>0</v>
      </c>
      <c r="H41" s="21">
        <f t="shared" si="5"/>
        <v>12593</v>
      </c>
      <c r="I41" s="15">
        <f t="shared" si="6"/>
        <v>6296.5</v>
      </c>
      <c r="J41" s="21">
        <f t="shared" si="7"/>
        <v>0</v>
      </c>
      <c r="K41" s="15">
        <f t="shared" si="8"/>
        <v>0</v>
      </c>
      <c r="L41" s="15">
        <f t="shared" si="9"/>
        <v>6296.5</v>
      </c>
      <c r="M41" s="15"/>
      <c r="N41" s="15">
        <f t="shared" si="10"/>
        <v>239685.5</v>
      </c>
      <c r="O41" s="15">
        <f aca="true" t="shared" si="16" ref="O41:O47">IF(N41&gt;=4000,(N41-4000)*0.9+2200,IF(N41&gt;=3000,(N41-3000)*0.8+1400,IF(N41&gt;=2000,(N41-2000)*0.6+800,IF(N41&gt;0,N41*0.4,0))))</f>
        <v>214316.95</v>
      </c>
      <c r="P41" s="15"/>
      <c r="Q41" s="30" t="s">
        <v>44</v>
      </c>
      <c r="R41" s="15"/>
      <c r="S41" s="76">
        <f t="shared" si="11"/>
        <v>54817</v>
      </c>
      <c r="T41" s="15">
        <f t="shared" si="12"/>
        <v>5482</v>
      </c>
      <c r="U41" s="15">
        <f t="shared" si="13"/>
        <v>60299</v>
      </c>
      <c r="V41" s="15"/>
      <c r="W41" s="15" t="s">
        <v>223</v>
      </c>
      <c r="X41" s="15">
        <f t="shared" si="14"/>
        <v>54817</v>
      </c>
      <c r="Y41" s="15">
        <v>53375</v>
      </c>
      <c r="Z41" s="15">
        <v>54510</v>
      </c>
      <c r="AA41" s="15">
        <v>50389</v>
      </c>
      <c r="AB41" s="31">
        <v>48074</v>
      </c>
      <c r="AC41" s="15">
        <f t="shared" si="15"/>
        <v>4121</v>
      </c>
      <c r="AD41" s="1"/>
      <c r="AE41" s="1">
        <v>1</v>
      </c>
      <c r="AF41" s="1" t="s">
        <v>223</v>
      </c>
      <c r="AG41" s="1">
        <v>50389</v>
      </c>
      <c r="AJ41" s="81" t="s">
        <v>409</v>
      </c>
      <c r="AK41" s="83">
        <v>245982</v>
      </c>
      <c r="AL41" s="81">
        <v>0</v>
      </c>
      <c r="AM41" s="81">
        <v>0</v>
      </c>
      <c r="AN41" s="83">
        <v>12593</v>
      </c>
      <c r="AO41" s="81">
        <v>0</v>
      </c>
      <c r="AP41"/>
      <c r="AR41" s="32" t="s">
        <v>270</v>
      </c>
      <c r="AS41" s="57">
        <v>260541.12</v>
      </c>
      <c r="AT41" s="57">
        <v>0</v>
      </c>
      <c r="AU41" s="57">
        <v>0</v>
      </c>
      <c r="AV41" s="57">
        <v>20592</v>
      </c>
      <c r="AW41" s="57">
        <v>0</v>
      </c>
      <c r="AX41" s="32"/>
      <c r="AY41" s="32"/>
      <c r="AZ41" s="32" t="s">
        <v>409</v>
      </c>
      <c r="BA41" s="57">
        <v>260541.12</v>
      </c>
      <c r="BB41" s="57">
        <v>0</v>
      </c>
      <c r="BC41" s="57">
        <v>0</v>
      </c>
      <c r="BD41" s="57">
        <v>20592</v>
      </c>
      <c r="BE41" s="57">
        <v>0</v>
      </c>
      <c r="BH41" s="32" t="s">
        <v>270</v>
      </c>
      <c r="BI41" s="33">
        <v>254975</v>
      </c>
      <c r="BJ41" s="33">
        <v>0</v>
      </c>
      <c r="BK41" s="33">
        <v>0</v>
      </c>
      <c r="BL41" s="33">
        <v>20598</v>
      </c>
      <c r="BM41" s="33">
        <v>0</v>
      </c>
      <c r="BN41" s="32"/>
    </row>
    <row r="42" spans="1:66" ht="21.75">
      <c r="A42" s="15" t="s">
        <v>54</v>
      </c>
      <c r="B42" s="62"/>
      <c r="C42" s="29">
        <f t="shared" si="1"/>
        <v>45057</v>
      </c>
      <c r="D42" s="21">
        <f t="shared" si="2"/>
        <v>0</v>
      </c>
      <c r="E42" s="15">
        <f t="shared" si="3"/>
        <v>45057</v>
      </c>
      <c r="F42" s="15"/>
      <c r="G42" s="15">
        <f t="shared" si="4"/>
        <v>0</v>
      </c>
      <c r="H42" s="21">
        <f t="shared" si="5"/>
        <v>0</v>
      </c>
      <c r="I42" s="15">
        <f t="shared" si="6"/>
        <v>0</v>
      </c>
      <c r="J42" s="21">
        <f t="shared" si="7"/>
        <v>0</v>
      </c>
      <c r="K42" s="15">
        <f t="shared" si="8"/>
        <v>0</v>
      </c>
      <c r="L42" s="15">
        <f t="shared" si="9"/>
        <v>0</v>
      </c>
      <c r="M42" s="15"/>
      <c r="N42" s="15">
        <f t="shared" si="10"/>
        <v>45057</v>
      </c>
      <c r="O42" s="15">
        <f t="shared" si="16"/>
        <v>39151.3</v>
      </c>
      <c r="P42" s="15"/>
      <c r="Q42" s="30" t="s">
        <v>44</v>
      </c>
      <c r="R42" s="15"/>
      <c r="S42" s="76">
        <f t="shared" si="11"/>
        <v>10014</v>
      </c>
      <c r="T42" s="15">
        <f t="shared" si="12"/>
        <v>1001</v>
      </c>
      <c r="U42" s="15">
        <f t="shared" si="13"/>
        <v>11015</v>
      </c>
      <c r="V42" s="15"/>
      <c r="W42" s="15" t="s">
        <v>54</v>
      </c>
      <c r="X42" s="15">
        <f t="shared" si="14"/>
        <v>10014</v>
      </c>
      <c r="Y42" s="15">
        <v>10064</v>
      </c>
      <c r="Z42" s="15">
        <v>9526</v>
      </c>
      <c r="AA42" s="15">
        <v>12040</v>
      </c>
      <c r="AB42" s="31">
        <v>11795</v>
      </c>
      <c r="AC42" s="15">
        <f t="shared" si="15"/>
        <v>-2514</v>
      </c>
      <c r="AD42" s="1"/>
      <c r="AE42" s="1">
        <v>1</v>
      </c>
      <c r="AF42" s="1" t="s">
        <v>54</v>
      </c>
      <c r="AG42" s="1">
        <v>12040</v>
      </c>
      <c r="AJ42" s="81" t="s">
        <v>269</v>
      </c>
      <c r="AK42" s="81">
        <v>45057</v>
      </c>
      <c r="AL42" s="81">
        <v>0</v>
      </c>
      <c r="AM42" s="81">
        <v>0</v>
      </c>
      <c r="AN42" s="81">
        <v>0</v>
      </c>
      <c r="AO42" s="81">
        <v>0</v>
      </c>
      <c r="AP42"/>
      <c r="AR42" s="32" t="s">
        <v>269</v>
      </c>
      <c r="AS42" s="65">
        <f>44043*1.1</f>
        <v>48447.3</v>
      </c>
      <c r="AT42" s="65"/>
      <c r="AU42" s="65"/>
      <c r="AV42" s="65"/>
      <c r="AW42" s="65"/>
      <c r="AX42" s="32"/>
      <c r="AY42" s="32"/>
      <c r="AZ42" s="32" t="s">
        <v>269</v>
      </c>
      <c r="BA42" s="57"/>
      <c r="BB42" s="57"/>
      <c r="BC42" s="57"/>
      <c r="BD42" s="57"/>
      <c r="BE42" s="57"/>
      <c r="BH42" s="32" t="s">
        <v>269</v>
      </c>
      <c r="BI42" s="33">
        <v>44043</v>
      </c>
      <c r="BJ42" s="33">
        <v>0</v>
      </c>
      <c r="BK42" s="33">
        <v>0</v>
      </c>
      <c r="BL42" s="33">
        <v>0</v>
      </c>
      <c r="BM42" s="33">
        <v>0</v>
      </c>
      <c r="BN42" s="32"/>
    </row>
    <row r="43" spans="1:66" ht="21">
      <c r="A43" s="15" t="s">
        <v>55</v>
      </c>
      <c r="B43" s="28"/>
      <c r="C43" s="29">
        <f t="shared" si="1"/>
        <v>172627</v>
      </c>
      <c r="D43" s="21">
        <f t="shared" si="2"/>
        <v>0</v>
      </c>
      <c r="E43" s="15">
        <f t="shared" si="3"/>
        <v>172627</v>
      </c>
      <c r="F43" s="15"/>
      <c r="G43" s="15">
        <f t="shared" si="4"/>
        <v>0</v>
      </c>
      <c r="H43" s="21">
        <f t="shared" si="5"/>
        <v>19815</v>
      </c>
      <c r="I43" s="15">
        <f t="shared" si="6"/>
        <v>9907.5</v>
      </c>
      <c r="J43" s="21">
        <f t="shared" si="7"/>
        <v>0</v>
      </c>
      <c r="K43" s="15">
        <f t="shared" si="8"/>
        <v>0</v>
      </c>
      <c r="L43" s="15">
        <f t="shared" si="9"/>
        <v>9907.5</v>
      </c>
      <c r="M43" s="15"/>
      <c r="N43" s="15">
        <f t="shared" si="10"/>
        <v>162719.5</v>
      </c>
      <c r="O43" s="15">
        <f t="shared" si="16"/>
        <v>145047.55000000002</v>
      </c>
      <c r="P43" s="15"/>
      <c r="Q43" s="30" t="s">
        <v>44</v>
      </c>
      <c r="R43" s="15"/>
      <c r="S43" s="76">
        <f t="shared" si="11"/>
        <v>37100</v>
      </c>
      <c r="T43" s="15">
        <f t="shared" si="12"/>
        <v>3710</v>
      </c>
      <c r="U43" s="15">
        <f t="shared" si="13"/>
        <v>40810</v>
      </c>
      <c r="V43" s="15"/>
      <c r="W43" s="15" t="s">
        <v>55</v>
      </c>
      <c r="X43" s="15">
        <f t="shared" si="14"/>
        <v>37100</v>
      </c>
      <c r="Y43" s="15">
        <v>32765</v>
      </c>
      <c r="Z43" s="15">
        <v>35374</v>
      </c>
      <c r="AA43" s="15">
        <v>30793</v>
      </c>
      <c r="AB43" s="31">
        <v>30125</v>
      </c>
      <c r="AC43" s="15">
        <f t="shared" si="15"/>
        <v>4581</v>
      </c>
      <c r="AD43" s="1"/>
      <c r="AE43" s="1">
        <v>1</v>
      </c>
      <c r="AF43" s="1" t="s">
        <v>55</v>
      </c>
      <c r="AG43" s="1">
        <v>30793</v>
      </c>
      <c r="AJ43" s="81" t="s">
        <v>265</v>
      </c>
      <c r="AK43" s="84">
        <v>172627</v>
      </c>
      <c r="AL43" s="81">
        <v>0</v>
      </c>
      <c r="AM43" s="81">
        <v>0</v>
      </c>
      <c r="AN43" s="84">
        <v>19815</v>
      </c>
      <c r="AO43" s="81">
        <v>0</v>
      </c>
      <c r="AP43"/>
      <c r="AR43" s="32" t="s">
        <v>265</v>
      </c>
      <c r="AS43" s="57">
        <v>164747</v>
      </c>
      <c r="AT43" s="57">
        <v>0</v>
      </c>
      <c r="AU43" s="57">
        <v>0</v>
      </c>
      <c r="AV43" s="57">
        <v>21057</v>
      </c>
      <c r="AW43" s="57">
        <v>0</v>
      </c>
      <c r="AX43" s="32"/>
      <c r="AY43" s="32"/>
      <c r="AZ43" s="32" t="s">
        <v>265</v>
      </c>
      <c r="BA43" s="57">
        <v>164747</v>
      </c>
      <c r="BB43" s="57">
        <v>0</v>
      </c>
      <c r="BC43" s="57">
        <v>0</v>
      </c>
      <c r="BD43" s="57">
        <v>21057</v>
      </c>
      <c r="BE43" s="57">
        <v>0</v>
      </c>
      <c r="BH43" s="32" t="s">
        <v>265</v>
      </c>
      <c r="BI43" s="33">
        <v>169631</v>
      </c>
      <c r="BJ43" s="33">
        <v>0</v>
      </c>
      <c r="BK43" s="33">
        <v>0</v>
      </c>
      <c r="BL43" s="33">
        <v>20610</v>
      </c>
      <c r="BM43" s="33">
        <v>0</v>
      </c>
      <c r="BN43" s="32"/>
    </row>
    <row r="44" spans="1:66" ht="21">
      <c r="A44" s="15" t="s">
        <v>56</v>
      </c>
      <c r="B44" s="28"/>
      <c r="C44" s="29">
        <f t="shared" si="1"/>
        <v>56936</v>
      </c>
      <c r="D44" s="21">
        <f t="shared" si="2"/>
        <v>0</v>
      </c>
      <c r="E44" s="15">
        <f t="shared" si="3"/>
        <v>56936</v>
      </c>
      <c r="F44" s="15"/>
      <c r="G44" s="15">
        <f t="shared" si="4"/>
        <v>0</v>
      </c>
      <c r="H44" s="21">
        <f t="shared" si="5"/>
        <v>0</v>
      </c>
      <c r="I44" s="15">
        <f t="shared" si="6"/>
        <v>0</v>
      </c>
      <c r="J44" s="21">
        <f t="shared" si="7"/>
        <v>0</v>
      </c>
      <c r="K44" s="15">
        <f t="shared" si="8"/>
        <v>0</v>
      </c>
      <c r="L44" s="15">
        <f t="shared" si="9"/>
        <v>0</v>
      </c>
      <c r="M44" s="15"/>
      <c r="N44" s="15">
        <f t="shared" si="10"/>
        <v>56936</v>
      </c>
      <c r="O44" s="15">
        <f t="shared" si="16"/>
        <v>49842.4</v>
      </c>
      <c r="P44" s="15"/>
      <c r="Q44" s="30" t="s">
        <v>44</v>
      </c>
      <c r="R44" s="15"/>
      <c r="S44" s="76">
        <f t="shared" si="11"/>
        <v>12749</v>
      </c>
      <c r="T44" s="15">
        <f t="shared" si="12"/>
        <v>1275</v>
      </c>
      <c r="U44" s="15">
        <f t="shared" si="13"/>
        <v>14024</v>
      </c>
      <c r="V44" s="15"/>
      <c r="W44" s="15" t="s">
        <v>56</v>
      </c>
      <c r="X44" s="15">
        <f t="shared" si="14"/>
        <v>12749</v>
      </c>
      <c r="Y44" s="15">
        <v>16010</v>
      </c>
      <c r="Z44" s="15">
        <v>18414</v>
      </c>
      <c r="AA44" s="15">
        <v>17794</v>
      </c>
      <c r="AB44" s="31">
        <v>24495</v>
      </c>
      <c r="AC44" s="15">
        <f t="shared" si="15"/>
        <v>620</v>
      </c>
      <c r="AD44" s="1"/>
      <c r="AE44" s="1">
        <v>1</v>
      </c>
      <c r="AF44" s="1" t="s">
        <v>56</v>
      </c>
      <c r="AG44" s="1">
        <v>17794</v>
      </c>
      <c r="AJ44" s="81" t="s">
        <v>514</v>
      </c>
      <c r="AK44" s="82">
        <v>56936</v>
      </c>
      <c r="AL44" s="81">
        <v>0</v>
      </c>
      <c r="AM44" s="81">
        <v>0</v>
      </c>
      <c r="AN44" s="81">
        <v>0</v>
      </c>
      <c r="AO44" s="81">
        <v>0</v>
      </c>
      <c r="AP44"/>
      <c r="AR44" s="32" t="s">
        <v>273</v>
      </c>
      <c r="AS44" s="57">
        <v>76149</v>
      </c>
      <c r="AT44" s="57">
        <v>0</v>
      </c>
      <c r="AU44" s="57">
        <v>0</v>
      </c>
      <c r="AV44" s="57">
        <v>0</v>
      </c>
      <c r="AW44" s="57">
        <v>0</v>
      </c>
      <c r="AX44" s="32"/>
      <c r="AY44" s="32"/>
      <c r="AZ44" s="32" t="s">
        <v>413</v>
      </c>
      <c r="BA44" s="57">
        <v>76149</v>
      </c>
      <c r="BB44" s="57">
        <v>0</v>
      </c>
      <c r="BC44" s="57">
        <v>0</v>
      </c>
      <c r="BD44" s="57">
        <v>0</v>
      </c>
      <c r="BE44" s="57">
        <v>0</v>
      </c>
      <c r="BH44" s="32" t="s">
        <v>273</v>
      </c>
      <c r="BI44" s="33">
        <v>83683</v>
      </c>
      <c r="BN44" s="32"/>
    </row>
    <row r="45" spans="1:66" ht="21">
      <c r="A45" s="15" t="s">
        <v>57</v>
      </c>
      <c r="B45" s="28"/>
      <c r="C45" s="29">
        <f t="shared" si="1"/>
        <v>34302</v>
      </c>
      <c r="D45" s="21">
        <f t="shared" si="2"/>
        <v>0</v>
      </c>
      <c r="E45" s="15">
        <f t="shared" si="3"/>
        <v>34302</v>
      </c>
      <c r="F45" s="15"/>
      <c r="G45" s="15">
        <f t="shared" si="4"/>
        <v>0</v>
      </c>
      <c r="H45" s="21">
        <f t="shared" si="5"/>
        <v>0</v>
      </c>
      <c r="I45" s="15">
        <f t="shared" si="6"/>
        <v>0</v>
      </c>
      <c r="J45" s="21">
        <f t="shared" si="7"/>
        <v>0</v>
      </c>
      <c r="K45" s="15">
        <f t="shared" si="8"/>
        <v>0</v>
      </c>
      <c r="L45" s="15">
        <f t="shared" si="9"/>
        <v>0</v>
      </c>
      <c r="M45" s="15"/>
      <c r="N45" s="15">
        <f t="shared" si="10"/>
        <v>34302</v>
      </c>
      <c r="O45" s="15">
        <f t="shared" si="16"/>
        <v>29471.8</v>
      </c>
      <c r="P45" s="15"/>
      <c r="Q45" s="30" t="s">
        <v>44</v>
      </c>
      <c r="R45" s="15"/>
      <c r="S45" s="76">
        <f t="shared" si="11"/>
        <v>7538</v>
      </c>
      <c r="T45" s="15">
        <f t="shared" si="12"/>
        <v>754</v>
      </c>
      <c r="U45" s="15">
        <f t="shared" si="13"/>
        <v>8292</v>
      </c>
      <c r="V45" s="15"/>
      <c r="W45" s="15" t="s">
        <v>57</v>
      </c>
      <c r="X45" s="15">
        <f t="shared" si="14"/>
        <v>7538</v>
      </c>
      <c r="Y45" s="15">
        <v>10608</v>
      </c>
      <c r="Z45" s="15">
        <v>12839</v>
      </c>
      <c r="AA45" s="15">
        <v>13372</v>
      </c>
      <c r="AB45" s="31">
        <v>11058</v>
      </c>
      <c r="AC45" s="15">
        <f t="shared" si="15"/>
        <v>-533</v>
      </c>
      <c r="AD45" s="1"/>
      <c r="AE45" s="1">
        <v>1</v>
      </c>
      <c r="AF45" s="1" t="s">
        <v>57</v>
      </c>
      <c r="AG45" s="1">
        <v>13372</v>
      </c>
      <c r="AJ45" s="81" t="s">
        <v>518</v>
      </c>
      <c r="AK45" s="81">
        <v>34302</v>
      </c>
      <c r="AL45" s="81">
        <v>0</v>
      </c>
      <c r="AM45" s="81">
        <v>0</v>
      </c>
      <c r="AN45" s="81">
        <v>0</v>
      </c>
      <c r="AO45" s="81">
        <v>0</v>
      </c>
      <c r="AP45"/>
      <c r="AR45" s="32" t="s">
        <v>266</v>
      </c>
      <c r="AS45" s="57">
        <v>52101</v>
      </c>
      <c r="AT45" s="57">
        <v>0</v>
      </c>
      <c r="AU45" s="57">
        <v>0</v>
      </c>
      <c r="AV45" s="57">
        <v>0</v>
      </c>
      <c r="AW45" s="57">
        <v>4477</v>
      </c>
      <c r="AX45" s="32"/>
      <c r="AY45" s="32"/>
      <c r="AZ45" s="32" t="s">
        <v>410</v>
      </c>
      <c r="BA45" s="57">
        <v>52101</v>
      </c>
      <c r="BB45" s="57">
        <v>0</v>
      </c>
      <c r="BC45" s="57">
        <v>0</v>
      </c>
      <c r="BD45" s="57">
        <v>0</v>
      </c>
      <c r="BE45" s="57">
        <v>4477</v>
      </c>
      <c r="BH45" s="32" t="s">
        <v>266</v>
      </c>
      <c r="BI45" s="33">
        <v>60740</v>
      </c>
      <c r="BJ45" s="33">
        <v>0</v>
      </c>
      <c r="BK45" s="33">
        <v>0</v>
      </c>
      <c r="BL45" s="33">
        <v>0</v>
      </c>
      <c r="BM45" s="33">
        <v>7690</v>
      </c>
      <c r="BN45" s="32"/>
    </row>
    <row r="46" spans="1:66" ht="21.75">
      <c r="A46" s="15" t="s">
        <v>217</v>
      </c>
      <c r="B46" s="62" t="s">
        <v>105</v>
      </c>
      <c r="C46" s="29">
        <f t="shared" si="1"/>
        <v>37349</v>
      </c>
      <c r="D46" s="21">
        <f t="shared" si="2"/>
        <v>0</v>
      </c>
      <c r="E46" s="15">
        <f t="shared" si="3"/>
        <v>37349</v>
      </c>
      <c r="F46" s="15"/>
      <c r="G46" s="15">
        <f t="shared" si="4"/>
        <v>0</v>
      </c>
      <c r="H46" s="21">
        <f t="shared" si="5"/>
        <v>0</v>
      </c>
      <c r="I46" s="15">
        <f t="shared" si="6"/>
        <v>0</v>
      </c>
      <c r="J46" s="21">
        <f t="shared" si="7"/>
        <v>1090</v>
      </c>
      <c r="K46" s="15">
        <f t="shared" si="8"/>
        <v>272.5</v>
      </c>
      <c r="L46" s="15">
        <f t="shared" si="9"/>
        <v>272.5</v>
      </c>
      <c r="M46" s="15"/>
      <c r="N46" s="15">
        <f t="shared" si="10"/>
        <v>37076.5</v>
      </c>
      <c r="O46" s="15">
        <f t="shared" si="16"/>
        <v>31968.850000000002</v>
      </c>
      <c r="P46" s="15"/>
      <c r="Q46" s="30" t="s">
        <v>44</v>
      </c>
      <c r="R46" s="15"/>
      <c r="S46" s="76">
        <f t="shared" si="11"/>
        <v>8177</v>
      </c>
      <c r="T46" s="15">
        <f t="shared" si="12"/>
        <v>818</v>
      </c>
      <c r="U46" s="15">
        <f t="shared" si="13"/>
        <v>8995</v>
      </c>
      <c r="V46" s="15"/>
      <c r="W46" s="15" t="s">
        <v>217</v>
      </c>
      <c r="X46" s="15">
        <f t="shared" si="14"/>
        <v>8177</v>
      </c>
      <c r="Y46" s="15">
        <v>7624</v>
      </c>
      <c r="Z46" s="15">
        <v>8469</v>
      </c>
      <c r="AA46" s="15">
        <v>7913</v>
      </c>
      <c r="AB46" s="31">
        <v>6216</v>
      </c>
      <c r="AC46" s="15">
        <f t="shared" si="15"/>
        <v>556</v>
      </c>
      <c r="AD46" s="1"/>
      <c r="AE46" s="1">
        <v>1</v>
      </c>
      <c r="AF46" s="1" t="s">
        <v>217</v>
      </c>
      <c r="AG46" s="1">
        <v>7913</v>
      </c>
      <c r="AJ46" s="81"/>
      <c r="AK46" s="91">
        <f>AS46</f>
        <v>37349</v>
      </c>
      <c r="AL46" s="91">
        <f>AT46</f>
        <v>0</v>
      </c>
      <c r="AM46" s="91">
        <f>AU46</f>
        <v>0</v>
      </c>
      <c r="AN46" s="91">
        <f>AV46</f>
        <v>0</v>
      </c>
      <c r="AO46" s="91">
        <f>AW46</f>
        <v>1090</v>
      </c>
      <c r="AP46"/>
      <c r="AR46" s="32" t="s">
        <v>268</v>
      </c>
      <c r="AS46" s="57">
        <v>37349</v>
      </c>
      <c r="AT46" s="57">
        <v>0</v>
      </c>
      <c r="AU46" s="57">
        <v>0</v>
      </c>
      <c r="AV46" s="57">
        <v>0</v>
      </c>
      <c r="AW46" s="57">
        <v>1090</v>
      </c>
      <c r="AX46" s="32"/>
      <c r="AY46" s="32"/>
      <c r="AZ46" s="32" t="s">
        <v>412</v>
      </c>
      <c r="BA46" s="57">
        <v>37349</v>
      </c>
      <c r="BB46" s="57">
        <v>0</v>
      </c>
      <c r="BC46" s="57">
        <v>0</v>
      </c>
      <c r="BD46" s="57">
        <v>0</v>
      </c>
      <c r="BE46" s="57">
        <v>1090</v>
      </c>
      <c r="BH46" s="32" t="s">
        <v>268</v>
      </c>
      <c r="BI46" s="33">
        <v>39609</v>
      </c>
      <c r="BJ46" s="33">
        <v>0</v>
      </c>
      <c r="BK46" s="33">
        <v>0</v>
      </c>
      <c r="BL46" s="33">
        <v>0</v>
      </c>
      <c r="BM46" s="33">
        <v>1120</v>
      </c>
      <c r="BN46" s="32"/>
    </row>
    <row r="47" spans="1:66" ht="21">
      <c r="A47" s="15" t="s">
        <v>218</v>
      </c>
      <c r="B47" s="28"/>
      <c r="C47" s="29">
        <f t="shared" si="1"/>
        <v>19160</v>
      </c>
      <c r="D47" s="21">
        <f t="shared" si="2"/>
        <v>0</v>
      </c>
      <c r="E47" s="15">
        <f t="shared" si="3"/>
        <v>19160</v>
      </c>
      <c r="F47" s="15"/>
      <c r="G47" s="15">
        <f t="shared" si="4"/>
        <v>0</v>
      </c>
      <c r="H47" s="21">
        <f t="shared" si="5"/>
        <v>0</v>
      </c>
      <c r="I47" s="15">
        <f t="shared" si="6"/>
        <v>0</v>
      </c>
      <c r="J47" s="21">
        <f t="shared" si="7"/>
        <v>0</v>
      </c>
      <c r="K47" s="15">
        <f t="shared" si="8"/>
        <v>0</v>
      </c>
      <c r="L47" s="15">
        <f t="shared" si="9"/>
        <v>0</v>
      </c>
      <c r="M47" s="15"/>
      <c r="N47" s="15">
        <f t="shared" si="10"/>
        <v>19160</v>
      </c>
      <c r="O47" s="15">
        <f t="shared" si="16"/>
        <v>15844</v>
      </c>
      <c r="P47" s="15"/>
      <c r="Q47" s="30" t="s">
        <v>44</v>
      </c>
      <c r="R47" s="15"/>
      <c r="S47" s="76">
        <f t="shared" si="11"/>
        <v>4053</v>
      </c>
      <c r="T47" s="15">
        <f t="shared" si="12"/>
        <v>405</v>
      </c>
      <c r="U47" s="15">
        <f t="shared" si="13"/>
        <v>4458</v>
      </c>
      <c r="V47" s="15"/>
      <c r="W47" s="15" t="s">
        <v>218</v>
      </c>
      <c r="X47" s="15">
        <f t="shared" si="14"/>
        <v>4053</v>
      </c>
      <c r="Y47" s="15">
        <v>4850</v>
      </c>
      <c r="Z47" s="15">
        <v>5687</v>
      </c>
      <c r="AA47" s="15">
        <v>5060</v>
      </c>
      <c r="AB47" s="31">
        <v>3359</v>
      </c>
      <c r="AC47" s="15">
        <f t="shared" si="15"/>
        <v>627</v>
      </c>
      <c r="AD47" s="1"/>
      <c r="AE47" s="1">
        <v>1</v>
      </c>
      <c r="AF47" s="1" t="s">
        <v>218</v>
      </c>
      <c r="AG47" s="1">
        <v>5060</v>
      </c>
      <c r="AJ47" s="81" t="s">
        <v>519</v>
      </c>
      <c r="AK47" s="81">
        <v>19160</v>
      </c>
      <c r="AL47" s="81">
        <v>0</v>
      </c>
      <c r="AM47" s="81">
        <v>0</v>
      </c>
      <c r="AN47" s="81">
        <v>0</v>
      </c>
      <c r="AO47" s="81">
        <v>0</v>
      </c>
      <c r="AP47"/>
      <c r="AR47" s="32" t="s">
        <v>267</v>
      </c>
      <c r="AS47" s="57">
        <v>24151</v>
      </c>
      <c r="AT47" s="57">
        <v>0</v>
      </c>
      <c r="AU47" s="57">
        <v>0</v>
      </c>
      <c r="AV47" s="57">
        <v>0</v>
      </c>
      <c r="AW47" s="57">
        <v>0</v>
      </c>
      <c r="AX47" s="32"/>
      <c r="AY47" s="32"/>
      <c r="AZ47" s="32" t="s">
        <v>411</v>
      </c>
      <c r="BA47" s="57">
        <v>24151</v>
      </c>
      <c r="BB47" s="57">
        <v>0</v>
      </c>
      <c r="BC47" s="57">
        <v>0</v>
      </c>
      <c r="BD47" s="57">
        <v>0</v>
      </c>
      <c r="BE47" s="57">
        <v>0</v>
      </c>
      <c r="BH47" s="32" t="s">
        <v>267</v>
      </c>
      <c r="BI47" s="33">
        <v>26919</v>
      </c>
      <c r="BJ47" s="33">
        <v>0</v>
      </c>
      <c r="BK47" s="33">
        <v>0</v>
      </c>
      <c r="BL47" s="33">
        <v>0</v>
      </c>
      <c r="BM47" s="33">
        <v>0</v>
      </c>
      <c r="BN47" s="32"/>
    </row>
    <row r="48" spans="1:66" ht="21">
      <c r="A48" s="15" t="s">
        <v>58</v>
      </c>
      <c r="B48" s="28"/>
      <c r="C48" s="29">
        <f t="shared" si="1"/>
        <v>148307</v>
      </c>
      <c r="D48" s="21">
        <f t="shared" si="2"/>
        <v>0</v>
      </c>
      <c r="E48" s="15">
        <f t="shared" si="3"/>
        <v>148307</v>
      </c>
      <c r="F48" s="15"/>
      <c r="G48" s="15">
        <f t="shared" si="4"/>
        <v>0</v>
      </c>
      <c r="H48" s="21">
        <f t="shared" si="5"/>
        <v>0</v>
      </c>
      <c r="I48" s="15">
        <f t="shared" si="6"/>
        <v>0</v>
      </c>
      <c r="J48" s="21">
        <f t="shared" si="7"/>
        <v>0</v>
      </c>
      <c r="K48" s="15">
        <f t="shared" si="8"/>
        <v>0</v>
      </c>
      <c r="L48" s="15">
        <f t="shared" si="9"/>
        <v>0</v>
      </c>
      <c r="M48" s="15"/>
      <c r="N48" s="15">
        <f aca="true" t="shared" si="17" ref="N48:N54">E48-L48</f>
        <v>148307</v>
      </c>
      <c r="O48" s="15">
        <f aca="true" t="shared" si="18" ref="O48:O54">IF(N48&gt;=4000,(N48-4000)*0.9+2200,IF(N48&gt;=3000,(N48-3000)*0.8+1400,IF(N48&gt;=2000,(N48-2000)*0.6+800,IF(N48&gt;0,N48*0.4,0))))</f>
        <v>132076.3</v>
      </c>
      <c r="P48" s="15"/>
      <c r="Q48" s="30" t="s">
        <v>44</v>
      </c>
      <c r="R48" s="15"/>
      <c r="S48" s="76">
        <f aca="true" t="shared" si="19" ref="S48:S54">ROUND(SUM(O48*$Q$10),0)</f>
        <v>33782</v>
      </c>
      <c r="T48" s="15">
        <f aca="true" t="shared" si="20" ref="T48:T54">ROUND(SUM(S48*0.1),0)</f>
        <v>3378</v>
      </c>
      <c r="U48" s="15">
        <f aca="true" t="shared" si="21" ref="U48:U54">SUM(S48:T48)</f>
        <v>37160</v>
      </c>
      <c r="V48" s="15"/>
      <c r="W48" s="15" t="s">
        <v>58</v>
      </c>
      <c r="X48" s="15">
        <f t="shared" si="14"/>
        <v>33782</v>
      </c>
      <c r="Y48" s="15">
        <v>13697</v>
      </c>
      <c r="Z48" s="15">
        <v>19093</v>
      </c>
      <c r="AA48" s="15">
        <v>19478</v>
      </c>
      <c r="AB48" s="31">
        <v>15203</v>
      </c>
      <c r="AC48" s="15">
        <f t="shared" si="15"/>
        <v>-385</v>
      </c>
      <c r="AD48" s="1"/>
      <c r="AE48" s="1">
        <v>1</v>
      </c>
      <c r="AF48" s="1" t="s">
        <v>58</v>
      </c>
      <c r="AG48" s="1">
        <v>19478</v>
      </c>
      <c r="AJ48" s="94" t="s">
        <v>521</v>
      </c>
      <c r="AK48" s="94">
        <v>148307</v>
      </c>
      <c r="AL48" s="81">
        <v>0</v>
      </c>
      <c r="AM48" s="81">
        <v>0</v>
      </c>
      <c r="AN48" s="81">
        <v>0</v>
      </c>
      <c r="AO48" s="81">
        <v>0</v>
      </c>
      <c r="AP48"/>
      <c r="AR48" s="32" t="s">
        <v>263</v>
      </c>
      <c r="AS48" s="57">
        <v>70354</v>
      </c>
      <c r="AT48" s="57">
        <v>0</v>
      </c>
      <c r="AU48" s="57">
        <v>0</v>
      </c>
      <c r="AV48" s="57">
        <v>9958</v>
      </c>
      <c r="AW48" s="57">
        <v>0</v>
      </c>
      <c r="AX48" s="32"/>
      <c r="AY48" s="32"/>
      <c r="AZ48" s="32" t="s">
        <v>263</v>
      </c>
      <c r="BA48" s="57">
        <v>70354</v>
      </c>
      <c r="BB48" s="57">
        <v>0</v>
      </c>
      <c r="BC48" s="57">
        <v>0</v>
      </c>
      <c r="BD48" s="57">
        <v>9958</v>
      </c>
      <c r="BE48" s="57">
        <v>0</v>
      </c>
      <c r="BH48" s="32" t="s">
        <v>263</v>
      </c>
      <c r="BI48" s="33">
        <v>94920</v>
      </c>
      <c r="BJ48" s="33">
        <v>0</v>
      </c>
      <c r="BK48" s="33">
        <v>0</v>
      </c>
      <c r="BL48" s="33">
        <v>16418</v>
      </c>
      <c r="BM48" s="33">
        <v>0</v>
      </c>
      <c r="BN48" s="32"/>
    </row>
    <row r="49" spans="1:66" ht="21">
      <c r="A49" s="15" t="s">
        <v>59</v>
      </c>
      <c r="B49" s="28"/>
      <c r="C49" s="29">
        <f t="shared" si="1"/>
        <v>158275</v>
      </c>
      <c r="D49" s="21">
        <f t="shared" si="2"/>
        <v>0</v>
      </c>
      <c r="E49" s="15">
        <f t="shared" si="3"/>
        <v>158275</v>
      </c>
      <c r="F49" s="15"/>
      <c r="G49" s="15">
        <f t="shared" si="4"/>
        <v>0</v>
      </c>
      <c r="H49" s="21">
        <f t="shared" si="5"/>
        <v>17905</v>
      </c>
      <c r="I49" s="15">
        <f t="shared" si="6"/>
        <v>8952.5</v>
      </c>
      <c r="J49" s="21">
        <f t="shared" si="7"/>
        <v>0</v>
      </c>
      <c r="K49" s="15">
        <f t="shared" si="8"/>
        <v>0</v>
      </c>
      <c r="L49" s="15">
        <f t="shared" si="9"/>
        <v>8952.5</v>
      </c>
      <c r="M49" s="15"/>
      <c r="N49" s="15">
        <f t="shared" si="17"/>
        <v>149322.5</v>
      </c>
      <c r="O49" s="15">
        <f t="shared" si="18"/>
        <v>132990.25</v>
      </c>
      <c r="P49" s="15"/>
      <c r="Q49" s="30" t="s">
        <v>44</v>
      </c>
      <c r="R49" s="15"/>
      <c r="S49" s="76">
        <f t="shared" si="19"/>
        <v>34016</v>
      </c>
      <c r="T49" s="15">
        <f t="shared" si="20"/>
        <v>3402</v>
      </c>
      <c r="U49" s="15">
        <f t="shared" si="21"/>
        <v>37418</v>
      </c>
      <c r="V49" s="15"/>
      <c r="W49" s="15" t="s">
        <v>59</v>
      </c>
      <c r="X49" s="15">
        <f t="shared" si="14"/>
        <v>34016</v>
      </c>
      <c r="Y49" s="15">
        <v>35663</v>
      </c>
      <c r="Z49" s="15">
        <v>37215</v>
      </c>
      <c r="AA49" s="15">
        <v>36280</v>
      </c>
      <c r="AB49" s="31">
        <v>33705</v>
      </c>
      <c r="AC49" s="15">
        <f t="shared" si="15"/>
        <v>935</v>
      </c>
      <c r="AD49" s="1"/>
      <c r="AE49" s="1">
        <v>1</v>
      </c>
      <c r="AF49" s="1" t="s">
        <v>59</v>
      </c>
      <c r="AG49" s="1">
        <v>36280</v>
      </c>
      <c r="AJ49" s="81" t="s">
        <v>272</v>
      </c>
      <c r="AK49" s="81">
        <v>158275</v>
      </c>
      <c r="AL49" s="81">
        <v>0</v>
      </c>
      <c r="AM49" s="81">
        <v>0</v>
      </c>
      <c r="AN49" s="81">
        <v>17905</v>
      </c>
      <c r="AO49" s="81">
        <v>0</v>
      </c>
      <c r="AR49" s="32" t="s">
        <v>272</v>
      </c>
      <c r="AS49" s="57">
        <v>176669</v>
      </c>
      <c r="AT49" s="57">
        <v>0</v>
      </c>
      <c r="AU49" s="57">
        <v>0</v>
      </c>
      <c r="AV49" s="57">
        <v>17904</v>
      </c>
      <c r="AW49" s="57">
        <v>0</v>
      </c>
      <c r="AX49" s="32"/>
      <c r="AY49" s="32"/>
      <c r="AZ49" s="32" t="s">
        <v>272</v>
      </c>
      <c r="BA49" s="57">
        <v>176669</v>
      </c>
      <c r="BB49" s="57">
        <v>0</v>
      </c>
      <c r="BC49" s="57">
        <v>0</v>
      </c>
      <c r="BD49" s="57">
        <v>17904</v>
      </c>
      <c r="BE49" s="57">
        <v>0</v>
      </c>
      <c r="BH49" s="32" t="s">
        <v>272</v>
      </c>
      <c r="BI49" s="33">
        <v>176493</v>
      </c>
      <c r="BJ49" s="33">
        <v>0</v>
      </c>
      <c r="BK49" s="33">
        <v>0</v>
      </c>
      <c r="BL49" s="33">
        <v>17905</v>
      </c>
      <c r="BM49" s="33">
        <v>0</v>
      </c>
      <c r="BN49" s="32"/>
    </row>
    <row r="50" spans="1:66" ht="21.75">
      <c r="A50" s="15" t="s">
        <v>245</v>
      </c>
      <c r="B50" s="62" t="s">
        <v>105</v>
      </c>
      <c r="C50" s="29">
        <f t="shared" si="1"/>
        <v>9000</v>
      </c>
      <c r="D50" s="21">
        <f t="shared" si="2"/>
        <v>0</v>
      </c>
      <c r="E50" s="15">
        <f t="shared" si="3"/>
        <v>9000</v>
      </c>
      <c r="F50" s="15"/>
      <c r="G50" s="15">
        <f t="shared" si="4"/>
        <v>0</v>
      </c>
      <c r="H50" s="21">
        <f t="shared" si="5"/>
        <v>2000</v>
      </c>
      <c r="I50" s="15">
        <f t="shared" si="6"/>
        <v>1000</v>
      </c>
      <c r="J50" s="21">
        <f t="shared" si="7"/>
        <v>0</v>
      </c>
      <c r="K50" s="15">
        <f t="shared" si="8"/>
        <v>0</v>
      </c>
      <c r="L50" s="15">
        <f t="shared" si="9"/>
        <v>1000</v>
      </c>
      <c r="M50" s="15"/>
      <c r="N50" s="15">
        <f t="shared" si="17"/>
        <v>8000</v>
      </c>
      <c r="O50" s="15">
        <f t="shared" si="18"/>
        <v>5800</v>
      </c>
      <c r="P50" s="15"/>
      <c r="Q50" s="30" t="s">
        <v>44</v>
      </c>
      <c r="R50" s="15"/>
      <c r="S50" s="76">
        <f t="shared" si="19"/>
        <v>1484</v>
      </c>
      <c r="T50" s="15">
        <f t="shared" si="20"/>
        <v>148</v>
      </c>
      <c r="U50" s="15">
        <f t="shared" si="21"/>
        <v>1632</v>
      </c>
      <c r="V50" s="15"/>
      <c r="W50" s="15" t="s">
        <v>510</v>
      </c>
      <c r="X50" s="15">
        <f t="shared" si="14"/>
        <v>1484</v>
      </c>
      <c r="Y50" s="15">
        <v>1383</v>
      </c>
      <c r="Z50" s="15">
        <v>0</v>
      </c>
      <c r="AA50" s="15">
        <v>1560</v>
      </c>
      <c r="AB50" s="31">
        <v>1516</v>
      </c>
      <c r="AC50" s="15">
        <f t="shared" si="15"/>
        <v>-1560</v>
      </c>
      <c r="AD50" s="1"/>
      <c r="AE50" s="1">
        <v>1</v>
      </c>
      <c r="AF50" s="1" t="s">
        <v>245</v>
      </c>
      <c r="AG50" s="1">
        <v>1560</v>
      </c>
      <c r="AK50" s="91">
        <f aca="true" t="shared" si="22" ref="AK50:AO52">AS50</f>
        <v>9000</v>
      </c>
      <c r="AL50" s="91">
        <f t="shared" si="22"/>
        <v>0</v>
      </c>
      <c r="AM50" s="91">
        <f t="shared" si="22"/>
        <v>0</v>
      </c>
      <c r="AN50" s="91">
        <f t="shared" si="22"/>
        <v>2000</v>
      </c>
      <c r="AO50" s="91">
        <f t="shared" si="22"/>
        <v>0</v>
      </c>
      <c r="AR50" s="1" t="s">
        <v>245</v>
      </c>
      <c r="AS50" s="70">
        <v>9000</v>
      </c>
      <c r="AV50" s="70">
        <v>2000</v>
      </c>
      <c r="AX50" s="32"/>
      <c r="AY50" s="32"/>
      <c r="AZ50" s="1" t="s">
        <v>245</v>
      </c>
      <c r="BA50" s="70">
        <v>9000</v>
      </c>
      <c r="BD50" s="70">
        <v>2000</v>
      </c>
      <c r="BH50" s="1" t="s">
        <v>245</v>
      </c>
      <c r="BI50" s="33"/>
      <c r="BJ50" s="33"/>
      <c r="BK50" s="33"/>
      <c r="BL50" s="33"/>
      <c r="BM50" s="33"/>
      <c r="BN50" s="32"/>
    </row>
    <row r="51" spans="1:66" ht="21.75">
      <c r="A51" s="15" t="s">
        <v>246</v>
      </c>
      <c r="B51" s="62" t="s">
        <v>105</v>
      </c>
      <c r="C51" s="29">
        <f t="shared" si="1"/>
        <v>7317</v>
      </c>
      <c r="D51" s="21">
        <f t="shared" si="2"/>
        <v>0</v>
      </c>
      <c r="E51" s="15">
        <f t="shared" si="3"/>
        <v>7317</v>
      </c>
      <c r="F51" s="15"/>
      <c r="G51" s="15">
        <f t="shared" si="4"/>
        <v>0</v>
      </c>
      <c r="H51" s="21">
        <f t="shared" si="5"/>
        <v>0</v>
      </c>
      <c r="I51" s="15">
        <f t="shared" si="6"/>
        <v>0</v>
      </c>
      <c r="J51" s="21">
        <f t="shared" si="7"/>
        <v>0</v>
      </c>
      <c r="K51" s="15">
        <f t="shared" si="8"/>
        <v>0</v>
      </c>
      <c r="L51" s="15">
        <f t="shared" si="9"/>
        <v>0</v>
      </c>
      <c r="M51" s="15"/>
      <c r="N51" s="15">
        <f t="shared" si="17"/>
        <v>7317</v>
      </c>
      <c r="O51" s="15">
        <f t="shared" si="18"/>
        <v>5185.3</v>
      </c>
      <c r="P51" s="15"/>
      <c r="Q51" s="30" t="s">
        <v>44</v>
      </c>
      <c r="R51" s="15"/>
      <c r="S51" s="76">
        <f t="shared" si="19"/>
        <v>1326</v>
      </c>
      <c r="T51" s="15">
        <f t="shared" si="20"/>
        <v>133</v>
      </c>
      <c r="U51" s="15">
        <f t="shared" si="21"/>
        <v>1459</v>
      </c>
      <c r="V51" s="15"/>
      <c r="W51" s="15" t="s">
        <v>246</v>
      </c>
      <c r="X51" s="15">
        <f t="shared" si="14"/>
        <v>1326</v>
      </c>
      <c r="Y51" s="15">
        <v>1237</v>
      </c>
      <c r="Z51" s="15">
        <v>0</v>
      </c>
      <c r="AA51" s="15">
        <v>1207</v>
      </c>
      <c r="AB51" s="31">
        <v>2678</v>
      </c>
      <c r="AC51" s="15">
        <f t="shared" si="15"/>
        <v>-1207</v>
      </c>
      <c r="AD51" s="1"/>
      <c r="AE51" s="1">
        <v>1</v>
      </c>
      <c r="AF51" s="1" t="s">
        <v>246</v>
      </c>
      <c r="AG51" s="1">
        <v>1207</v>
      </c>
      <c r="AK51" s="91">
        <f t="shared" si="22"/>
        <v>7317</v>
      </c>
      <c r="AL51" s="91">
        <f t="shared" si="22"/>
        <v>0</v>
      </c>
      <c r="AM51" s="91">
        <f t="shared" si="22"/>
        <v>0</v>
      </c>
      <c r="AN51" s="91">
        <f t="shared" si="22"/>
        <v>0</v>
      </c>
      <c r="AO51" s="91">
        <f t="shared" si="22"/>
        <v>0</v>
      </c>
      <c r="AR51" s="32" t="s">
        <v>414</v>
      </c>
      <c r="AS51" s="57">
        <v>7317</v>
      </c>
      <c r="AT51" s="57">
        <v>0</v>
      </c>
      <c r="AU51" s="57">
        <v>0</v>
      </c>
      <c r="AV51" s="57">
        <v>0</v>
      </c>
      <c r="AW51" s="57">
        <v>0</v>
      </c>
      <c r="AX51" s="32"/>
      <c r="AY51" s="32"/>
      <c r="AZ51" s="32" t="s">
        <v>414</v>
      </c>
      <c r="BA51" s="57">
        <v>7317</v>
      </c>
      <c r="BB51" s="57">
        <v>0</v>
      </c>
      <c r="BC51" s="57">
        <v>0</v>
      </c>
      <c r="BD51" s="57">
        <v>0</v>
      </c>
      <c r="BE51" s="57">
        <v>0</v>
      </c>
      <c r="BH51" s="1" t="s">
        <v>246</v>
      </c>
      <c r="BI51" s="33"/>
      <c r="BJ51" s="33"/>
      <c r="BK51" s="33"/>
      <c r="BL51" s="33"/>
      <c r="BM51" s="33"/>
      <c r="BN51" s="32"/>
    </row>
    <row r="52" spans="1:66" ht="21.75">
      <c r="A52" s="15" t="s">
        <v>247</v>
      </c>
      <c r="B52" s="62" t="s">
        <v>105</v>
      </c>
      <c r="C52" s="29">
        <f t="shared" si="1"/>
        <v>7750</v>
      </c>
      <c r="D52" s="21">
        <f t="shared" si="2"/>
        <v>0</v>
      </c>
      <c r="E52" s="15">
        <f t="shared" si="3"/>
        <v>7750</v>
      </c>
      <c r="F52" s="15"/>
      <c r="G52" s="15">
        <f t="shared" si="4"/>
        <v>0</v>
      </c>
      <c r="H52" s="21">
        <f t="shared" si="5"/>
        <v>0</v>
      </c>
      <c r="I52" s="15">
        <f t="shared" si="6"/>
        <v>0</v>
      </c>
      <c r="J52" s="21">
        <f t="shared" si="7"/>
        <v>0</v>
      </c>
      <c r="K52" s="15">
        <f t="shared" si="8"/>
        <v>0</v>
      </c>
      <c r="L52" s="15">
        <f t="shared" si="9"/>
        <v>0</v>
      </c>
      <c r="M52" s="15"/>
      <c r="N52" s="15">
        <f t="shared" si="17"/>
        <v>7750</v>
      </c>
      <c r="O52" s="15">
        <f t="shared" si="18"/>
        <v>5575</v>
      </c>
      <c r="P52" s="15"/>
      <c r="Q52" s="30" t="s">
        <v>44</v>
      </c>
      <c r="R52" s="15"/>
      <c r="S52" s="76">
        <f t="shared" si="19"/>
        <v>1426</v>
      </c>
      <c r="T52" s="15">
        <f t="shared" si="20"/>
        <v>143</v>
      </c>
      <c r="U52" s="15">
        <f t="shared" si="21"/>
        <v>1569</v>
      </c>
      <c r="V52" s="15"/>
      <c r="W52" s="15" t="s">
        <v>509</v>
      </c>
      <c r="X52" s="15">
        <f t="shared" si="14"/>
        <v>1426</v>
      </c>
      <c r="Y52" s="15">
        <v>1329</v>
      </c>
      <c r="Z52" s="15">
        <v>0</v>
      </c>
      <c r="AA52" s="15">
        <v>1532</v>
      </c>
      <c r="AB52" s="31">
        <v>1489</v>
      </c>
      <c r="AC52" s="15">
        <f t="shared" si="15"/>
        <v>-1532</v>
      </c>
      <c r="AD52" s="1"/>
      <c r="AE52" s="1">
        <v>1</v>
      </c>
      <c r="AF52" s="1" t="s">
        <v>247</v>
      </c>
      <c r="AG52" s="1">
        <v>1532</v>
      </c>
      <c r="AJ52" s="81"/>
      <c r="AK52" s="91">
        <f t="shared" si="22"/>
        <v>7750</v>
      </c>
      <c r="AL52" s="91">
        <f t="shared" si="22"/>
        <v>0</v>
      </c>
      <c r="AM52" s="91">
        <f t="shared" si="22"/>
        <v>0</v>
      </c>
      <c r="AN52" s="91">
        <f t="shared" si="22"/>
        <v>0</v>
      </c>
      <c r="AO52" s="91">
        <f t="shared" si="22"/>
        <v>0</v>
      </c>
      <c r="AP52"/>
      <c r="AR52" s="1" t="s">
        <v>247</v>
      </c>
      <c r="AS52" s="70">
        <v>7750</v>
      </c>
      <c r="AX52" s="32"/>
      <c r="AY52" s="32"/>
      <c r="AZ52" s="1" t="s">
        <v>247</v>
      </c>
      <c r="BA52" s="70">
        <v>7750</v>
      </c>
      <c r="BH52" s="1" t="s">
        <v>247</v>
      </c>
      <c r="BI52" s="33"/>
      <c r="BJ52" s="33"/>
      <c r="BK52" s="33"/>
      <c r="BL52" s="33"/>
      <c r="BM52" s="33"/>
      <c r="BN52" s="32"/>
    </row>
    <row r="53" spans="1:65" ht="21">
      <c r="A53" s="15" t="s">
        <v>60</v>
      </c>
      <c r="B53" s="28"/>
      <c r="C53" s="29">
        <f t="shared" si="1"/>
        <v>38000</v>
      </c>
      <c r="D53" s="21">
        <f t="shared" si="2"/>
        <v>0</v>
      </c>
      <c r="E53" s="15">
        <f t="shared" si="3"/>
        <v>38000</v>
      </c>
      <c r="F53" s="15"/>
      <c r="G53" s="15">
        <f t="shared" si="4"/>
        <v>0</v>
      </c>
      <c r="H53" s="21">
        <f t="shared" si="5"/>
        <v>0</v>
      </c>
      <c r="I53" s="15">
        <f t="shared" si="6"/>
        <v>0</v>
      </c>
      <c r="J53" s="21">
        <f t="shared" si="7"/>
        <v>0</v>
      </c>
      <c r="K53" s="15">
        <f t="shared" si="8"/>
        <v>0</v>
      </c>
      <c r="L53" s="15">
        <f t="shared" si="9"/>
        <v>0</v>
      </c>
      <c r="M53" s="15"/>
      <c r="N53" s="15">
        <f t="shared" si="17"/>
        <v>38000</v>
      </c>
      <c r="O53" s="15">
        <f t="shared" si="18"/>
        <v>32800</v>
      </c>
      <c r="P53" s="15"/>
      <c r="Q53" s="30" t="s">
        <v>44</v>
      </c>
      <c r="R53" s="15"/>
      <c r="S53" s="76">
        <f t="shared" si="19"/>
        <v>8389</v>
      </c>
      <c r="T53" s="15">
        <f t="shared" si="20"/>
        <v>839</v>
      </c>
      <c r="U53" s="15">
        <f t="shared" si="21"/>
        <v>9228</v>
      </c>
      <c r="V53" s="15"/>
      <c r="W53" s="15" t="s">
        <v>60</v>
      </c>
      <c r="X53" s="15">
        <f t="shared" si="14"/>
        <v>8389</v>
      </c>
      <c r="Y53" s="15">
        <v>8207</v>
      </c>
      <c r="Z53" s="15">
        <v>8724</v>
      </c>
      <c r="AA53" s="15">
        <v>8195</v>
      </c>
      <c r="AB53" s="35">
        <v>9046</v>
      </c>
      <c r="AC53" s="15">
        <f t="shared" si="15"/>
        <v>529</v>
      </c>
      <c r="AD53" s="1"/>
      <c r="AE53" s="1">
        <v>1</v>
      </c>
      <c r="AF53" s="1" t="s">
        <v>60</v>
      </c>
      <c r="AG53" s="1">
        <v>8195</v>
      </c>
      <c r="AJ53" s="81" t="s">
        <v>517</v>
      </c>
      <c r="AK53" s="84">
        <v>38000</v>
      </c>
      <c r="AL53" s="81">
        <v>0</v>
      </c>
      <c r="AM53" s="81">
        <v>0</v>
      </c>
      <c r="AN53" s="81">
        <v>0</v>
      </c>
      <c r="AO53" s="81">
        <v>0</v>
      </c>
      <c r="AP53"/>
      <c r="AR53" s="32" t="s">
        <v>262</v>
      </c>
      <c r="AS53" s="57">
        <v>39795</v>
      </c>
      <c r="AT53" s="57">
        <v>0</v>
      </c>
      <c r="AU53" s="57">
        <v>0</v>
      </c>
      <c r="AV53" s="57">
        <v>0</v>
      </c>
      <c r="AW53" s="57">
        <v>0</v>
      </c>
      <c r="AZ53" s="32" t="s">
        <v>415</v>
      </c>
      <c r="BA53" s="57">
        <v>39795</v>
      </c>
      <c r="BB53" s="57">
        <v>0</v>
      </c>
      <c r="BC53" s="57">
        <v>0</v>
      </c>
      <c r="BD53" s="57">
        <v>0</v>
      </c>
      <c r="BE53" s="57">
        <v>0</v>
      </c>
      <c r="BH53" s="32" t="s">
        <v>262</v>
      </c>
      <c r="BI53" s="33">
        <v>40464</v>
      </c>
      <c r="BJ53" s="33">
        <v>0</v>
      </c>
      <c r="BK53" s="33">
        <v>0</v>
      </c>
      <c r="BL53" s="33">
        <v>0</v>
      </c>
      <c r="BM53" s="33">
        <v>0</v>
      </c>
    </row>
    <row r="54" spans="1:65" ht="21.75">
      <c r="A54" s="15" t="s">
        <v>230</v>
      </c>
      <c r="B54" s="62"/>
      <c r="C54" s="29">
        <f t="shared" si="1"/>
        <v>19978</v>
      </c>
      <c r="D54" s="21">
        <f t="shared" si="2"/>
        <v>0</v>
      </c>
      <c r="E54" s="15">
        <f t="shared" si="3"/>
        <v>19978</v>
      </c>
      <c r="F54" s="15"/>
      <c r="G54" s="15">
        <f t="shared" si="4"/>
        <v>0</v>
      </c>
      <c r="H54" s="21">
        <f t="shared" si="5"/>
        <v>0</v>
      </c>
      <c r="I54" s="15">
        <f t="shared" si="6"/>
        <v>0</v>
      </c>
      <c r="J54" s="21">
        <f t="shared" si="7"/>
        <v>0</v>
      </c>
      <c r="K54" s="15">
        <f t="shared" si="8"/>
        <v>0</v>
      </c>
      <c r="L54" s="15">
        <f t="shared" si="9"/>
        <v>0</v>
      </c>
      <c r="M54" s="15"/>
      <c r="N54" s="15">
        <f t="shared" si="17"/>
        <v>19978</v>
      </c>
      <c r="O54" s="15">
        <f t="shared" si="18"/>
        <v>16580.2</v>
      </c>
      <c r="P54" s="15"/>
      <c r="Q54" s="30" t="s">
        <v>44</v>
      </c>
      <c r="R54" s="15"/>
      <c r="S54" s="76">
        <f t="shared" si="19"/>
        <v>4241</v>
      </c>
      <c r="T54" s="15">
        <f t="shared" si="20"/>
        <v>424</v>
      </c>
      <c r="U54" s="15">
        <f t="shared" si="21"/>
        <v>4665</v>
      </c>
      <c r="V54" s="15"/>
      <c r="W54" s="15" t="s">
        <v>230</v>
      </c>
      <c r="X54" s="15">
        <f t="shared" si="14"/>
        <v>4241</v>
      </c>
      <c r="Y54" s="15">
        <v>8187</v>
      </c>
      <c r="Z54" s="15">
        <v>7746</v>
      </c>
      <c r="AA54" s="15">
        <v>7934</v>
      </c>
      <c r="AB54" s="31">
        <v>9348</v>
      </c>
      <c r="AC54" s="15">
        <f t="shared" si="15"/>
        <v>-188</v>
      </c>
      <c r="AD54" s="1"/>
      <c r="AE54" s="1">
        <v>1</v>
      </c>
      <c r="AF54" s="1" t="s">
        <v>230</v>
      </c>
      <c r="AG54" s="1">
        <v>7934</v>
      </c>
      <c r="AJ54" s="81" t="s">
        <v>515</v>
      </c>
      <c r="AK54" s="83">
        <v>19978</v>
      </c>
      <c r="AL54" s="81">
        <v>0</v>
      </c>
      <c r="AM54" s="81">
        <v>0</v>
      </c>
      <c r="AN54" s="81">
        <v>0</v>
      </c>
      <c r="AO54" s="81">
        <v>0</v>
      </c>
      <c r="AP54"/>
      <c r="AR54" s="32" t="s">
        <v>264</v>
      </c>
      <c r="AS54" s="66">
        <f>37216*1.1</f>
        <v>40937.600000000006</v>
      </c>
      <c r="AT54" s="67"/>
      <c r="AU54" s="67"/>
      <c r="AV54" s="67">
        <f>2250*1.1</f>
        <v>2475</v>
      </c>
      <c r="AW54" s="67"/>
      <c r="AZ54" s="53"/>
      <c r="BB54" s="56"/>
      <c r="BC54" s="56"/>
      <c r="BD54" s="56"/>
      <c r="BE54" s="56"/>
      <c r="BF54" s="56"/>
      <c r="BH54" s="32" t="s">
        <v>264</v>
      </c>
      <c r="BI54" s="33">
        <v>37216</v>
      </c>
      <c r="BJ54" s="33">
        <v>12</v>
      </c>
      <c r="BK54" s="33">
        <v>0</v>
      </c>
      <c r="BL54" s="33">
        <v>2250</v>
      </c>
      <c r="BM54" s="33">
        <v>0</v>
      </c>
    </row>
    <row r="55" spans="1:42" ht="21">
      <c r="A55" s="19" t="s">
        <v>3</v>
      </c>
      <c r="B55" s="15"/>
      <c r="C55" s="19" t="s">
        <v>3</v>
      </c>
      <c r="D55" s="19" t="s">
        <v>3</v>
      </c>
      <c r="E55" s="19" t="s">
        <v>3</v>
      </c>
      <c r="F55" s="15"/>
      <c r="G55" s="19" t="s">
        <v>3</v>
      </c>
      <c r="H55" s="19" t="s">
        <v>3</v>
      </c>
      <c r="I55" s="19" t="s">
        <v>3</v>
      </c>
      <c r="J55" s="19" t="s">
        <v>3</v>
      </c>
      <c r="K55" s="19" t="s">
        <v>3</v>
      </c>
      <c r="L55" s="19" t="s">
        <v>3</v>
      </c>
      <c r="M55" s="15"/>
      <c r="N55" s="19" t="s">
        <v>3</v>
      </c>
      <c r="O55" s="19" t="s">
        <v>3</v>
      </c>
      <c r="P55" s="15"/>
      <c r="Q55" s="15"/>
      <c r="R55" s="15"/>
      <c r="S55" s="78" t="s">
        <v>3</v>
      </c>
      <c r="T55" s="19" t="s">
        <v>3</v>
      </c>
      <c r="U55" s="19" t="s">
        <v>3</v>
      </c>
      <c r="V55" s="15"/>
      <c r="AC55" s="1"/>
      <c r="AD55" s="1"/>
      <c r="AE55" s="1"/>
      <c r="AF55" s="1"/>
      <c r="AG55" s="1"/>
      <c r="AJ55" s="81"/>
      <c r="AK55" s="81"/>
      <c r="AL55" s="81"/>
      <c r="AM55" s="81"/>
      <c r="AN55" s="81"/>
      <c r="AO55" s="81"/>
      <c r="AP55"/>
    </row>
    <row r="56" spans="1:65" ht="21">
      <c r="A56" s="15" t="s">
        <v>48</v>
      </c>
      <c r="B56" s="15"/>
      <c r="C56" s="15">
        <f>SUM(C38:C55)</f>
        <v>1231202</v>
      </c>
      <c r="D56" s="15">
        <f>SUM(D38:D55)</f>
        <v>1247</v>
      </c>
      <c r="E56" s="15">
        <f>SUM(E38:E55)</f>
        <v>1232449</v>
      </c>
      <c r="F56" s="15"/>
      <c r="G56" s="15">
        <f aca="true" t="shared" si="23" ref="G56:L56">SUM(G38:G55)</f>
        <v>0</v>
      </c>
      <c r="H56" s="15">
        <f t="shared" si="23"/>
        <v>73813</v>
      </c>
      <c r="I56" s="15">
        <f t="shared" si="23"/>
        <v>36906.5</v>
      </c>
      <c r="J56" s="15">
        <f t="shared" si="23"/>
        <v>1090</v>
      </c>
      <c r="K56" s="15">
        <f t="shared" si="23"/>
        <v>272.5</v>
      </c>
      <c r="L56" s="15">
        <f t="shared" si="23"/>
        <v>37179</v>
      </c>
      <c r="M56" s="15"/>
      <c r="N56" s="15">
        <f>SUM(N38:N55)</f>
        <v>1195270</v>
      </c>
      <c r="O56" s="15">
        <f>SUM(O38:O55)</f>
        <v>1053343</v>
      </c>
      <c r="P56" s="15"/>
      <c r="Q56" s="18" t="s">
        <v>49</v>
      </c>
      <c r="R56" s="15"/>
      <c r="S56" s="76">
        <f>SUM(S38:S55)</f>
        <v>269422</v>
      </c>
      <c r="T56" s="15">
        <f>SUM(T38:T55)</f>
        <v>26943</v>
      </c>
      <c r="U56" s="15">
        <f>SUM(U38:U55)</f>
        <v>296365</v>
      </c>
      <c r="V56" s="15"/>
      <c r="X56" s="15">
        <f>SUM(X39:X55)</f>
        <v>269422</v>
      </c>
      <c r="Y56" s="15">
        <f>SUM(Y39:Y55)</f>
        <v>254753</v>
      </c>
      <c r="Z56" s="15">
        <f>SUM(Z39:Z55)</f>
        <v>261977</v>
      </c>
      <c r="AA56" s="15">
        <f>SUM(AA39:AA55)</f>
        <v>267415</v>
      </c>
      <c r="AB56" s="15">
        <f>SUM(AB39:AB55)</f>
        <v>254447</v>
      </c>
      <c r="AC56" s="15">
        <f t="shared" si="15"/>
        <v>-5438</v>
      </c>
      <c r="AD56" s="1"/>
      <c r="AE56" s="1"/>
      <c r="AF56" s="1"/>
      <c r="AG56" s="1"/>
      <c r="AR56" s="36"/>
      <c r="BH56" s="36"/>
      <c r="BI56" s="37"/>
      <c r="BJ56" s="37"/>
      <c r="BK56" s="37"/>
      <c r="BL56" s="37"/>
      <c r="BM56" s="37"/>
    </row>
    <row r="57" spans="1:65" ht="21">
      <c r="A57" s="19" t="s">
        <v>3</v>
      </c>
      <c r="B57" s="15"/>
      <c r="C57" s="19" t="s">
        <v>3</v>
      </c>
      <c r="D57" s="19" t="s">
        <v>3</v>
      </c>
      <c r="E57" s="19" t="s">
        <v>3</v>
      </c>
      <c r="F57" s="15"/>
      <c r="G57" s="19" t="s">
        <v>3</v>
      </c>
      <c r="H57" s="19" t="s">
        <v>3</v>
      </c>
      <c r="I57" s="19" t="s">
        <v>3</v>
      </c>
      <c r="J57" s="19" t="s">
        <v>3</v>
      </c>
      <c r="K57" s="19" t="s">
        <v>3</v>
      </c>
      <c r="L57" s="19" t="s">
        <v>3</v>
      </c>
      <c r="M57" s="15"/>
      <c r="N57" s="19" t="s">
        <v>3</v>
      </c>
      <c r="O57" s="19" t="s">
        <v>3</v>
      </c>
      <c r="P57" s="15"/>
      <c r="Q57" s="15"/>
      <c r="R57" s="15"/>
      <c r="S57" s="78" t="s">
        <v>3</v>
      </c>
      <c r="T57" s="19" t="s">
        <v>3</v>
      </c>
      <c r="U57" s="19" t="s">
        <v>3</v>
      </c>
      <c r="V57" s="15"/>
      <c r="W57" s="15"/>
      <c r="X57" s="15"/>
      <c r="Y57" s="15"/>
      <c r="Z57" s="1"/>
      <c r="AA57" s="1"/>
      <c r="AB57" s="38"/>
      <c r="AC57" s="1"/>
      <c r="AD57" s="1"/>
      <c r="AE57" s="1"/>
      <c r="AF57" s="1"/>
      <c r="AG57" s="1"/>
      <c r="AR57" s="36"/>
      <c r="BH57" s="36"/>
      <c r="BI57" s="37"/>
      <c r="BJ57" s="37"/>
      <c r="BK57" s="37"/>
      <c r="BL57" s="37"/>
      <c r="BM57" s="37"/>
    </row>
    <row r="58" spans="1:31" ht="2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79"/>
      <c r="T58" s="35"/>
      <c r="U58" s="35"/>
      <c r="V58" s="35"/>
      <c r="W58" s="35"/>
      <c r="X58" s="35"/>
      <c r="Y58" s="35"/>
      <c r="AB58" s="38"/>
      <c r="AE58" s="1"/>
    </row>
    <row r="59" spans="1:33" ht="21">
      <c r="A59" s="15" t="s">
        <v>61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76"/>
      <c r="T59" s="15"/>
      <c r="U59" s="15"/>
      <c r="V59" s="15"/>
      <c r="W59" s="15"/>
      <c r="X59" s="15"/>
      <c r="Y59" s="15"/>
      <c r="Z59" s="1"/>
      <c r="AA59" s="1"/>
      <c r="AB59" s="38"/>
      <c r="AC59" s="1"/>
      <c r="AD59" s="1"/>
      <c r="AE59" s="1"/>
      <c r="AF59" s="1"/>
      <c r="AG59" s="1"/>
    </row>
    <row r="60" spans="1:57" ht="21">
      <c r="A60" s="15" t="s">
        <v>187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76"/>
      <c r="T60" s="15"/>
      <c r="U60" s="15"/>
      <c r="V60" s="15"/>
      <c r="W60" s="15"/>
      <c r="X60" s="15"/>
      <c r="Y60" s="15"/>
      <c r="Z60" s="1"/>
      <c r="AA60" s="1"/>
      <c r="AB60" s="38"/>
      <c r="AC60" s="1"/>
      <c r="AD60" s="1"/>
      <c r="AE60" s="1"/>
      <c r="AF60" s="1"/>
      <c r="AG60" s="1"/>
      <c r="AS60" s="57"/>
      <c r="AT60" s="57"/>
      <c r="AU60" s="57"/>
      <c r="AV60" s="57"/>
      <c r="AW60" s="57"/>
      <c r="AZ60" s="32"/>
      <c r="BA60" s="57"/>
      <c r="BB60" s="57"/>
      <c r="BC60" s="57"/>
      <c r="BD60" s="57"/>
      <c r="BE60" s="57"/>
    </row>
    <row r="61" spans="1:57" ht="21">
      <c r="A61" s="15" t="s">
        <v>63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76"/>
      <c r="T61" s="15"/>
      <c r="U61" s="15"/>
      <c r="V61" s="15"/>
      <c r="W61" s="15"/>
      <c r="X61" s="15"/>
      <c r="Y61" s="15"/>
      <c r="Z61" s="1"/>
      <c r="AA61" s="1"/>
      <c r="AB61" s="38"/>
      <c r="AC61" s="1"/>
      <c r="AD61" s="1"/>
      <c r="AE61" s="1"/>
      <c r="AF61" s="1"/>
      <c r="AG61" s="1"/>
      <c r="AS61" s="57"/>
      <c r="AT61" s="57"/>
      <c r="AU61" s="57"/>
      <c r="AV61" s="57"/>
      <c r="AW61" s="57"/>
      <c r="AZ61" s="32"/>
      <c r="BA61" s="57"/>
      <c r="BB61" s="57"/>
      <c r="BC61" s="57"/>
      <c r="BD61" s="57"/>
      <c r="BE61" s="57"/>
    </row>
    <row r="62" spans="1:33" ht="21">
      <c r="A62" s="15" t="s">
        <v>62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76"/>
      <c r="T62" s="15"/>
      <c r="U62" s="15"/>
      <c r="V62" s="15"/>
      <c r="W62" s="15"/>
      <c r="X62" s="15"/>
      <c r="Y62" s="15"/>
      <c r="Z62" s="1"/>
      <c r="AA62" s="1"/>
      <c r="AB62" s="38"/>
      <c r="AC62" s="1"/>
      <c r="AD62" s="1"/>
      <c r="AE62" s="1"/>
      <c r="AF62" s="1"/>
      <c r="AG62" s="1"/>
    </row>
    <row r="63" spans="1:33" ht="21">
      <c r="A63" s="35" t="s">
        <v>188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76"/>
      <c r="T63" s="15"/>
      <c r="U63" s="15"/>
      <c r="V63" s="15"/>
      <c r="W63" s="15"/>
      <c r="X63" s="15"/>
      <c r="Y63" s="15"/>
      <c r="Z63" s="1"/>
      <c r="AA63" s="1"/>
      <c r="AB63" s="38"/>
      <c r="AC63" s="1"/>
      <c r="AD63" s="1"/>
      <c r="AE63" s="1"/>
      <c r="AF63" s="1"/>
      <c r="AG63" s="1"/>
    </row>
    <row r="64" spans="1:28" ht="2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79"/>
      <c r="T64" s="35"/>
      <c r="U64" s="35"/>
      <c r="V64" s="35"/>
      <c r="W64" s="35"/>
      <c r="X64" s="35"/>
      <c r="Y64" s="35"/>
      <c r="AB64" s="38"/>
    </row>
    <row r="65" spans="1:33" ht="21">
      <c r="A65" s="15" t="s">
        <v>64</v>
      </c>
      <c r="B65" s="15"/>
      <c r="C65" s="15"/>
      <c r="D65" s="15" t="s">
        <v>65</v>
      </c>
      <c r="E65" s="15"/>
      <c r="F65" s="15"/>
      <c r="G65" s="15"/>
      <c r="H65" s="15"/>
      <c r="I65" s="15"/>
      <c r="J65" s="15"/>
      <c r="K65" s="15"/>
      <c r="L65" s="15" t="s">
        <v>66</v>
      </c>
      <c r="M65" s="15"/>
      <c r="N65" s="15"/>
      <c r="O65" s="15"/>
      <c r="P65" s="15"/>
      <c r="Q65" s="15"/>
      <c r="R65" s="15"/>
      <c r="S65" s="76"/>
      <c r="T65" s="15"/>
      <c r="U65" s="15"/>
      <c r="V65" s="15"/>
      <c r="W65" s="15"/>
      <c r="X65" s="15"/>
      <c r="Y65" s="15"/>
      <c r="Z65" s="1"/>
      <c r="AA65" s="1"/>
      <c r="AB65" s="38"/>
      <c r="AC65" s="1"/>
      <c r="AD65" s="1"/>
      <c r="AE65" s="1"/>
      <c r="AF65" s="1"/>
      <c r="AG65" s="1"/>
    </row>
    <row r="66" spans="1:33" ht="21">
      <c r="A66" s="19" t="s">
        <v>3</v>
      </c>
      <c r="B66" s="15"/>
      <c r="C66" s="15"/>
      <c r="D66" s="19" t="s">
        <v>3</v>
      </c>
      <c r="E66" s="19" t="s">
        <v>3</v>
      </c>
      <c r="F66" s="15"/>
      <c r="G66" s="15"/>
      <c r="H66" s="15"/>
      <c r="I66" s="15"/>
      <c r="J66" s="15"/>
      <c r="K66" s="15"/>
      <c r="L66" s="15" t="s">
        <v>67</v>
      </c>
      <c r="M66" s="15"/>
      <c r="N66" s="15"/>
      <c r="O66" s="15"/>
      <c r="P66" s="15"/>
      <c r="Q66" s="15"/>
      <c r="R66" s="15"/>
      <c r="S66" s="76"/>
      <c r="T66" s="15"/>
      <c r="U66" s="15"/>
      <c r="V66" s="15"/>
      <c r="W66" s="15"/>
      <c r="X66" s="15"/>
      <c r="Y66" s="15"/>
      <c r="Z66" s="1"/>
      <c r="AA66" s="1"/>
      <c r="AB66" s="38"/>
      <c r="AC66" s="1"/>
      <c r="AD66" s="1"/>
      <c r="AE66" s="1"/>
      <c r="AF66" s="1"/>
      <c r="AG66" s="1"/>
    </row>
    <row r="67" spans="1:33" ht="21">
      <c r="A67" s="15" t="s">
        <v>68</v>
      </c>
      <c r="B67" s="15"/>
      <c r="C67" s="15"/>
      <c r="D67" s="15" t="s">
        <v>69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76"/>
      <c r="T67" s="15"/>
      <c r="U67" s="15"/>
      <c r="V67" s="15"/>
      <c r="W67" s="15"/>
      <c r="X67" s="15"/>
      <c r="Y67" s="15"/>
      <c r="Z67" s="1"/>
      <c r="AA67" s="1"/>
      <c r="AB67" s="38"/>
      <c r="AC67" s="1"/>
      <c r="AD67" s="1"/>
      <c r="AE67" s="1"/>
      <c r="AF67" s="1"/>
      <c r="AG67" s="1"/>
    </row>
    <row r="68" spans="1:33" ht="21">
      <c r="A68" s="15" t="s">
        <v>70</v>
      </c>
      <c r="B68" s="15"/>
      <c r="C68" s="15"/>
      <c r="D68" s="15" t="s">
        <v>71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76"/>
      <c r="T68" s="15"/>
      <c r="U68" s="15"/>
      <c r="V68" s="15"/>
      <c r="W68" s="15"/>
      <c r="X68" s="15"/>
      <c r="Y68" s="15"/>
      <c r="Z68" s="1"/>
      <c r="AA68" s="1"/>
      <c r="AB68" s="38"/>
      <c r="AC68" s="1"/>
      <c r="AD68" s="1"/>
      <c r="AE68" s="1"/>
      <c r="AF68" s="1"/>
      <c r="AG68" s="1"/>
    </row>
    <row r="69" spans="1:33" ht="21">
      <c r="A69" s="15" t="s">
        <v>72</v>
      </c>
      <c r="B69" s="15"/>
      <c r="C69" s="15"/>
      <c r="D69" s="15" t="s">
        <v>73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76"/>
      <c r="T69" s="15"/>
      <c r="U69" s="15"/>
      <c r="V69" s="15"/>
      <c r="W69" s="15"/>
      <c r="X69" s="15"/>
      <c r="Y69" s="15"/>
      <c r="Z69" s="1"/>
      <c r="AA69" s="1"/>
      <c r="AB69" s="38"/>
      <c r="AC69" s="1"/>
      <c r="AD69" s="1"/>
      <c r="AE69" s="1"/>
      <c r="AF69" s="1"/>
      <c r="AG69" s="1"/>
    </row>
    <row r="70" spans="1:33" ht="21">
      <c r="A70" s="15" t="s">
        <v>74</v>
      </c>
      <c r="B70" s="15"/>
      <c r="C70" s="15"/>
      <c r="D70" s="15" t="s">
        <v>75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76"/>
      <c r="T70" s="15"/>
      <c r="U70" s="15"/>
      <c r="V70" s="15"/>
      <c r="W70" s="15"/>
      <c r="X70" s="15"/>
      <c r="Y70" s="15"/>
      <c r="Z70" s="1"/>
      <c r="AA70" s="1"/>
      <c r="AB70" s="38"/>
      <c r="AC70" s="1"/>
      <c r="AD70" s="1"/>
      <c r="AE70" s="1"/>
      <c r="AF70" s="1"/>
      <c r="AG70" s="1"/>
    </row>
    <row r="71" spans="1:28" ht="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79"/>
      <c r="T71" s="35"/>
      <c r="U71" s="35"/>
      <c r="V71" s="35"/>
      <c r="W71" s="35"/>
      <c r="X71" s="35"/>
      <c r="Y71" s="35"/>
      <c r="AB71" s="38"/>
    </row>
    <row r="72" spans="1:28" ht="2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79"/>
      <c r="T72" s="35"/>
      <c r="U72" s="35"/>
      <c r="V72" s="35"/>
      <c r="W72" s="35"/>
      <c r="X72" s="35"/>
      <c r="Y72" s="35"/>
      <c r="AB72" s="38"/>
    </row>
    <row r="73" spans="1:33" ht="2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76"/>
      <c r="T73" s="15"/>
      <c r="U73" s="15"/>
      <c r="V73" s="15"/>
      <c r="W73" s="15"/>
      <c r="X73" s="15"/>
      <c r="Y73" s="15"/>
      <c r="Z73" s="1"/>
      <c r="AA73" s="1"/>
      <c r="AB73" s="38"/>
      <c r="AC73" s="1"/>
      <c r="AD73" s="1"/>
      <c r="AE73" s="1"/>
      <c r="AF73" s="1"/>
      <c r="AG73" s="1"/>
    </row>
    <row r="74" spans="1:33" ht="2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76"/>
      <c r="T74" s="15"/>
      <c r="U74" s="15"/>
      <c r="V74" s="15"/>
      <c r="W74" s="15"/>
      <c r="X74" s="15"/>
      <c r="Y74" s="15"/>
      <c r="Z74" s="1"/>
      <c r="AA74" s="1"/>
      <c r="AB74" s="38"/>
      <c r="AC74" s="1"/>
      <c r="AD74" s="1"/>
      <c r="AE74" s="1"/>
      <c r="AF74" s="1"/>
      <c r="AG74" s="1"/>
    </row>
    <row r="75" spans="1:33" ht="21">
      <c r="A75" s="15" t="s">
        <v>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76"/>
      <c r="T75" s="15"/>
      <c r="U75" s="15"/>
      <c r="V75" s="15"/>
      <c r="W75" s="15"/>
      <c r="X75" s="15"/>
      <c r="Y75" s="15"/>
      <c r="Z75" s="1"/>
      <c r="AA75" s="1"/>
      <c r="AB75" s="38"/>
      <c r="AC75" s="1"/>
      <c r="AD75" s="1"/>
      <c r="AE75" s="1"/>
      <c r="AF75" s="1"/>
      <c r="AG75" s="1"/>
    </row>
    <row r="76" spans="1:33" ht="21">
      <c r="A76" s="15" t="str">
        <f>$A$3</f>
        <v>MISSION &amp; SERVICE BUDGET APPORTIONMENT 2022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76"/>
      <c r="T76" s="15"/>
      <c r="U76" s="15"/>
      <c r="V76" s="15"/>
      <c r="W76" s="15"/>
      <c r="X76" s="15"/>
      <c r="Y76" s="15"/>
      <c r="Z76" s="1"/>
      <c r="AA76" s="1"/>
      <c r="AB76" s="38"/>
      <c r="AC76" s="1"/>
      <c r="AD76" s="1"/>
      <c r="AE76" s="1"/>
      <c r="AF76" s="1"/>
      <c r="AG76" s="1"/>
    </row>
    <row r="77" spans="1:33" ht="2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76"/>
      <c r="T77" s="15"/>
      <c r="U77" s="15"/>
      <c r="V77" s="15"/>
      <c r="W77" s="15"/>
      <c r="X77" s="15"/>
      <c r="Y77" s="15"/>
      <c r="Z77" s="1"/>
      <c r="AA77" s="1"/>
      <c r="AB77" s="38"/>
      <c r="AC77" s="1"/>
      <c r="AD77" s="1"/>
      <c r="AE77" s="1"/>
      <c r="AF77" s="1"/>
      <c r="AG77" s="1"/>
    </row>
    <row r="78" spans="1:33" ht="2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76"/>
      <c r="T78" s="15"/>
      <c r="U78" s="15"/>
      <c r="V78" s="15"/>
      <c r="W78" s="15"/>
      <c r="X78" s="15"/>
      <c r="Y78" s="15"/>
      <c r="Z78" s="1"/>
      <c r="AA78" s="1"/>
      <c r="AB78" s="38"/>
      <c r="AC78" s="1"/>
      <c r="AD78" s="1"/>
      <c r="AE78" s="1"/>
      <c r="AF78" s="1"/>
      <c r="AG78" s="1"/>
    </row>
    <row r="79" spans="1:33" ht="21">
      <c r="A79" s="15" t="s">
        <v>80</v>
      </c>
      <c r="B79" s="15" t="s">
        <v>2</v>
      </c>
      <c r="C79" s="15" t="str">
        <f>C32</f>
        <v>2020 expenses</v>
      </c>
      <c r="D79" s="15"/>
      <c r="E79" s="15"/>
      <c r="F79" s="15" t="s">
        <v>2</v>
      </c>
      <c r="G79" s="19" t="s">
        <v>3</v>
      </c>
      <c r="H79" s="19" t="s">
        <v>3</v>
      </c>
      <c r="I79" s="19" t="s">
        <v>3</v>
      </c>
      <c r="J79" s="18" t="s">
        <v>4</v>
      </c>
      <c r="K79" s="19" t="s">
        <v>3</v>
      </c>
      <c r="L79" s="19" t="s">
        <v>3</v>
      </c>
      <c r="M79" s="15" t="s">
        <v>2</v>
      </c>
      <c r="N79" s="15" t="s">
        <v>5</v>
      </c>
      <c r="O79" s="15"/>
      <c r="P79" s="15" t="s">
        <v>2</v>
      </c>
      <c r="Q79" s="18" t="s">
        <v>6</v>
      </c>
      <c r="R79" s="15" t="s">
        <v>2</v>
      </c>
      <c r="S79" s="76" t="str">
        <f>S32</f>
        <v>------------------------</v>
      </c>
      <c r="T79" s="18" t="str">
        <f>+T32</f>
        <v>APPORTIONMENT</v>
      </c>
      <c r="U79" s="15" t="str">
        <f>+U32</f>
        <v>---------------------</v>
      </c>
      <c r="V79" s="15" t="s">
        <v>2</v>
      </c>
      <c r="W79" s="15"/>
      <c r="X79" s="15"/>
      <c r="Y79" s="15"/>
      <c r="Z79" s="1"/>
      <c r="AA79" s="1"/>
      <c r="AB79" s="38"/>
      <c r="AC79" s="1"/>
      <c r="AD79" s="1"/>
      <c r="AE79" s="1"/>
      <c r="AF79" s="1"/>
      <c r="AG79" s="1"/>
    </row>
    <row r="80" spans="1:33" ht="21">
      <c r="A80" s="15"/>
      <c r="B80" s="15" t="s">
        <v>2</v>
      </c>
      <c r="C80" s="15"/>
      <c r="D80" s="15"/>
      <c r="E80" s="15"/>
      <c r="F80" s="15" t="s">
        <v>2</v>
      </c>
      <c r="G80" s="15"/>
      <c r="H80" s="15"/>
      <c r="I80" s="15"/>
      <c r="J80" s="15"/>
      <c r="K80" s="15"/>
      <c r="L80" s="15"/>
      <c r="M80" s="15" t="s">
        <v>2</v>
      </c>
      <c r="N80" s="15"/>
      <c r="O80" s="20" t="s">
        <v>8</v>
      </c>
      <c r="P80" s="15" t="s">
        <v>2</v>
      </c>
      <c r="Q80" s="15"/>
      <c r="R80" s="15" t="s">
        <v>2</v>
      </c>
      <c r="S80" s="76"/>
      <c r="T80" s="15"/>
      <c r="U80" s="15"/>
      <c r="V80" s="15" t="s">
        <v>2</v>
      </c>
      <c r="W80" s="15"/>
      <c r="X80" s="15"/>
      <c r="Y80" s="15"/>
      <c r="Z80" s="1"/>
      <c r="AA80" s="1"/>
      <c r="AB80" s="38"/>
      <c r="AC80" s="1"/>
      <c r="AD80" s="1"/>
      <c r="AE80" s="1"/>
      <c r="AF80" s="1"/>
      <c r="AG80" s="1"/>
    </row>
    <row r="81" spans="1:33" ht="21">
      <c r="A81" s="15"/>
      <c r="B81" s="15" t="s">
        <v>2</v>
      </c>
      <c r="C81" s="15"/>
      <c r="D81" s="15"/>
      <c r="E81" s="18" t="s">
        <v>9</v>
      </c>
      <c r="F81" s="15" t="s">
        <v>2</v>
      </c>
      <c r="G81" s="15"/>
      <c r="H81" s="15"/>
      <c r="I81" s="15"/>
      <c r="J81" s="20" t="s">
        <v>10</v>
      </c>
      <c r="K81" s="20" t="s">
        <v>11</v>
      </c>
      <c r="L81" s="15"/>
      <c r="M81" s="15" t="s">
        <v>2</v>
      </c>
      <c r="N81" s="15"/>
      <c r="O81" s="20" t="s">
        <v>12</v>
      </c>
      <c r="P81" s="15" t="s">
        <v>2</v>
      </c>
      <c r="Q81" s="18" t="s">
        <v>13</v>
      </c>
      <c r="R81" s="15" t="s">
        <v>2</v>
      </c>
      <c r="S81" s="76"/>
      <c r="U81" s="15"/>
      <c r="V81" s="15" t="s">
        <v>2</v>
      </c>
      <c r="W81" s="15"/>
      <c r="X81" s="15"/>
      <c r="Y81" s="15"/>
      <c r="Z81" s="1"/>
      <c r="AA81" s="1"/>
      <c r="AB81" s="38"/>
      <c r="AC81" s="1"/>
      <c r="AD81" s="1"/>
      <c r="AE81" s="1"/>
      <c r="AF81" s="1"/>
      <c r="AG81" s="1"/>
    </row>
    <row r="82" spans="1:45" ht="22.5">
      <c r="A82" s="15"/>
      <c r="B82" s="15" t="s">
        <v>2</v>
      </c>
      <c r="C82" s="15"/>
      <c r="D82" s="18"/>
      <c r="E82" s="18" t="s">
        <v>15</v>
      </c>
      <c r="F82" s="15" t="s">
        <v>2</v>
      </c>
      <c r="G82" s="20" t="s">
        <v>215</v>
      </c>
      <c r="H82" s="20" t="s">
        <v>16</v>
      </c>
      <c r="I82" s="20" t="s">
        <v>17</v>
      </c>
      <c r="J82" s="20" t="s">
        <v>18</v>
      </c>
      <c r="K82" s="20" t="s">
        <v>19</v>
      </c>
      <c r="L82" s="20" t="s">
        <v>9</v>
      </c>
      <c r="M82" s="15" t="s">
        <v>2</v>
      </c>
      <c r="N82" s="20" t="s">
        <v>20</v>
      </c>
      <c r="O82" s="20" t="s">
        <v>21</v>
      </c>
      <c r="P82" s="15" t="s">
        <v>2</v>
      </c>
      <c r="Q82" s="20" t="s">
        <v>22</v>
      </c>
      <c r="R82" s="15" t="s">
        <v>2</v>
      </c>
      <c r="S82" s="76"/>
      <c r="T82" s="9" t="s">
        <v>23</v>
      </c>
      <c r="U82" s="15"/>
      <c r="V82" s="15" t="s">
        <v>2</v>
      </c>
      <c r="W82" s="15"/>
      <c r="X82" s="15"/>
      <c r="Y82" s="15"/>
      <c r="Z82" s="1"/>
      <c r="AA82" s="1"/>
      <c r="AB82" s="38"/>
      <c r="AC82" s="1"/>
      <c r="AD82" s="1"/>
      <c r="AE82" s="1"/>
      <c r="AF82" s="1"/>
      <c r="AG82" s="1"/>
      <c r="AS82" s="60" t="s">
        <v>505</v>
      </c>
    </row>
    <row r="83" spans="1:65" ht="22.5">
      <c r="A83" s="15"/>
      <c r="B83" s="15" t="s">
        <v>2</v>
      </c>
      <c r="C83" s="18" t="s">
        <v>15</v>
      </c>
      <c r="D83" s="18" t="s">
        <v>25</v>
      </c>
      <c r="E83" s="18" t="s">
        <v>14</v>
      </c>
      <c r="F83" s="15" t="s">
        <v>2</v>
      </c>
      <c r="G83" s="20" t="s">
        <v>216</v>
      </c>
      <c r="H83" s="20" t="s">
        <v>26</v>
      </c>
      <c r="I83" s="20" t="s">
        <v>16</v>
      </c>
      <c r="J83" s="20" t="s">
        <v>27</v>
      </c>
      <c r="K83" s="20" t="s">
        <v>28</v>
      </c>
      <c r="L83" s="20" t="s">
        <v>29</v>
      </c>
      <c r="M83" s="15" t="s">
        <v>2</v>
      </c>
      <c r="N83" s="20" t="s">
        <v>15</v>
      </c>
      <c r="O83" s="20" t="s">
        <v>30</v>
      </c>
      <c r="P83" s="15" t="s">
        <v>2</v>
      </c>
      <c r="Q83" s="20" t="s">
        <v>12</v>
      </c>
      <c r="R83" s="15" t="s">
        <v>2</v>
      </c>
      <c r="T83" s="18" t="str">
        <f>+T36</f>
        <v>Extra</v>
      </c>
      <c r="U83" s="20" t="s">
        <v>31</v>
      </c>
      <c r="V83" s="15" t="s">
        <v>2</v>
      </c>
      <c r="W83" s="15"/>
      <c r="X83" s="15"/>
      <c r="Y83" s="15"/>
      <c r="Z83" s="1"/>
      <c r="AA83" s="1"/>
      <c r="AB83" s="38"/>
      <c r="AC83" s="1"/>
      <c r="AD83" s="1"/>
      <c r="AE83" s="1"/>
      <c r="AF83" s="1"/>
      <c r="AG83" s="1"/>
      <c r="AK83" s="60" t="s">
        <v>513</v>
      </c>
      <c r="AR83" s="36"/>
      <c r="BH83" s="36"/>
      <c r="BI83" s="37"/>
      <c r="BJ83" s="37"/>
      <c r="BK83" s="37"/>
      <c r="BL83" s="37"/>
      <c r="BM83" s="37"/>
    </row>
    <row r="84" spans="1:65" ht="21">
      <c r="A84" s="15"/>
      <c r="B84" s="15" t="s">
        <v>2</v>
      </c>
      <c r="C84" s="18" t="s">
        <v>14</v>
      </c>
      <c r="D84" s="18" t="s">
        <v>33</v>
      </c>
      <c r="E84" s="18" t="s">
        <v>34</v>
      </c>
      <c r="F84" s="15" t="s">
        <v>2</v>
      </c>
      <c r="G84" s="20" t="s">
        <v>35</v>
      </c>
      <c r="H84" s="20" t="s">
        <v>36</v>
      </c>
      <c r="I84" s="20" t="s">
        <v>37</v>
      </c>
      <c r="J84" s="20" t="s">
        <v>38</v>
      </c>
      <c r="K84" s="20" t="s">
        <v>39</v>
      </c>
      <c r="L84" s="20" t="s">
        <v>40</v>
      </c>
      <c r="M84" s="15" t="s">
        <v>2</v>
      </c>
      <c r="N84" s="20" t="s">
        <v>14</v>
      </c>
      <c r="O84" s="20" t="s">
        <v>41</v>
      </c>
      <c r="P84" s="15" t="s">
        <v>2</v>
      </c>
      <c r="Q84" s="22">
        <f>Q10</f>
        <v>0.25577674211452567</v>
      </c>
      <c r="R84" s="15" t="s">
        <v>2</v>
      </c>
      <c r="S84" s="80" t="str">
        <f>+S37</f>
        <v>Apportionment</v>
      </c>
      <c r="T84" s="18" t="str">
        <f>+T37</f>
        <v>Mile</v>
      </c>
      <c r="U84" s="20" t="s">
        <v>42</v>
      </c>
      <c r="V84" s="15" t="s">
        <v>2</v>
      </c>
      <c r="W84" s="23"/>
      <c r="X84" s="23"/>
      <c r="Y84" s="23"/>
      <c r="Z84" s="1"/>
      <c r="AA84" s="1"/>
      <c r="AB84" s="38"/>
      <c r="AC84" s="1"/>
      <c r="AD84" s="1"/>
      <c r="AE84" s="1"/>
      <c r="AF84" s="1"/>
      <c r="AG84" s="1"/>
      <c r="AR84" s="36"/>
      <c r="BH84" s="36"/>
      <c r="BI84" s="37"/>
      <c r="BJ84" s="33"/>
      <c r="BK84" s="33"/>
      <c r="BL84" s="37"/>
      <c r="BM84" s="33"/>
    </row>
    <row r="85" spans="1:65" ht="101.25" thickBot="1">
      <c r="A85" s="19" t="s">
        <v>3</v>
      </c>
      <c r="B85" s="15"/>
      <c r="C85" s="19" t="s">
        <v>3</v>
      </c>
      <c r="D85" s="19" t="s">
        <v>3</v>
      </c>
      <c r="E85" s="19" t="s">
        <v>3</v>
      </c>
      <c r="F85" s="15"/>
      <c r="G85" s="19" t="s">
        <v>3</v>
      </c>
      <c r="H85" s="19" t="s">
        <v>3</v>
      </c>
      <c r="I85" s="19" t="s">
        <v>3</v>
      </c>
      <c r="J85" s="19" t="s">
        <v>3</v>
      </c>
      <c r="K85" s="19" t="s">
        <v>3</v>
      </c>
      <c r="L85" s="19" t="s">
        <v>3</v>
      </c>
      <c r="M85" s="15"/>
      <c r="N85" s="19" t="s">
        <v>3</v>
      </c>
      <c r="O85" s="19" t="s">
        <v>3</v>
      </c>
      <c r="P85" s="15"/>
      <c r="Q85" s="19" t="s">
        <v>3</v>
      </c>
      <c r="R85" s="15"/>
      <c r="S85" s="78" t="s">
        <v>3</v>
      </c>
      <c r="T85" s="19" t="s">
        <v>3</v>
      </c>
      <c r="U85" s="19" t="s">
        <v>3</v>
      </c>
      <c r="V85" s="15"/>
      <c r="W85" s="15"/>
      <c r="X85" s="69" t="s">
        <v>577</v>
      </c>
      <c r="Y85" s="69" t="s">
        <v>508</v>
      </c>
      <c r="Z85" s="24">
        <v>2020</v>
      </c>
      <c r="AA85" s="24">
        <v>2019</v>
      </c>
      <c r="AB85" s="24">
        <v>2018</v>
      </c>
      <c r="AC85" s="25" t="s">
        <v>394</v>
      </c>
      <c r="AD85" s="26"/>
      <c r="AE85" s="1"/>
      <c r="AF85" s="1"/>
      <c r="AG85" s="1"/>
      <c r="AK85" s="27" t="s">
        <v>379</v>
      </c>
      <c r="AL85" s="27" t="s">
        <v>380</v>
      </c>
      <c r="AM85" s="27" t="s">
        <v>381</v>
      </c>
      <c r="AN85" s="27" t="s">
        <v>382</v>
      </c>
      <c r="AO85" s="27" t="s">
        <v>383</v>
      </c>
      <c r="AS85" s="27" t="s">
        <v>379</v>
      </c>
      <c r="AT85" s="27" t="s">
        <v>380</v>
      </c>
      <c r="AU85" s="27" t="s">
        <v>381</v>
      </c>
      <c r="AV85" s="27" t="s">
        <v>382</v>
      </c>
      <c r="AW85" s="27" t="s">
        <v>383</v>
      </c>
      <c r="BI85" s="27" t="s">
        <v>379</v>
      </c>
      <c r="BJ85" s="27" t="s">
        <v>380</v>
      </c>
      <c r="BK85" s="27" t="s">
        <v>381</v>
      </c>
      <c r="BL85" s="27" t="s">
        <v>382</v>
      </c>
      <c r="BM85" s="27" t="s">
        <v>383</v>
      </c>
    </row>
    <row r="86" spans="1:65" ht="21">
      <c r="A86" s="15" t="s">
        <v>81</v>
      </c>
      <c r="B86" s="28"/>
      <c r="C86" s="29">
        <f>AK86</f>
        <v>43247</v>
      </c>
      <c r="D86" s="21">
        <f>AL86</f>
        <v>0</v>
      </c>
      <c r="E86" s="15">
        <f>D86+C86</f>
        <v>43247</v>
      </c>
      <c r="F86" s="15"/>
      <c r="G86" s="15">
        <f aca="true" t="shared" si="24" ref="G86:G96">AM86</f>
        <v>0</v>
      </c>
      <c r="H86" s="21">
        <f aca="true" t="shared" si="25" ref="H86:H96">AN86</f>
        <v>0</v>
      </c>
      <c r="I86" s="15">
        <f aca="true" t="shared" si="26" ref="I86:I96">H86*0.5</f>
        <v>0</v>
      </c>
      <c r="J86" s="21">
        <f aca="true" t="shared" si="27" ref="J86:J96">AO86</f>
        <v>0</v>
      </c>
      <c r="K86" s="15">
        <f aca="true" t="shared" si="28" ref="K86:K95">J86*0.25</f>
        <v>0</v>
      </c>
      <c r="L86" s="15">
        <f aca="true" t="shared" si="29" ref="L86:L95">+G86+I86+K86</f>
        <v>0</v>
      </c>
      <c r="M86" s="15"/>
      <c r="N86" s="15">
        <f aca="true" t="shared" si="30" ref="N86:N96">E86-L86</f>
        <v>43247</v>
      </c>
      <c r="O86" s="15">
        <f aca="true" t="shared" si="31" ref="O86:O96">IF(N86&gt;=4000,(N86-4000)*0.9+2200,IF(N86&gt;=3000,(N86-3000)*0.8+1400,IF(N86&gt;=2000,(N86-2000)*0.6+800,IF(N86&gt;0,N86*0.4,0))))</f>
        <v>37522.3</v>
      </c>
      <c r="P86" s="15"/>
      <c r="Q86" s="30" t="s">
        <v>44</v>
      </c>
      <c r="R86" s="15"/>
      <c r="S86" s="76">
        <f aca="true" t="shared" si="32" ref="S86:S96">ROUND(SUM(O86*$Q$10),0)</f>
        <v>9597</v>
      </c>
      <c r="T86" s="15">
        <f aca="true" t="shared" si="33" ref="T86:T96">ROUND(SUM(S86*0.1),0)</f>
        <v>960</v>
      </c>
      <c r="U86" s="15">
        <f aca="true" t="shared" si="34" ref="U86:U96">SUM(S86:T86)</f>
        <v>10557</v>
      </c>
      <c r="V86" s="15"/>
      <c r="W86" s="15" t="s">
        <v>81</v>
      </c>
      <c r="X86" s="15">
        <f>S86</f>
        <v>9597</v>
      </c>
      <c r="Y86" s="15">
        <v>11140</v>
      </c>
      <c r="Z86" s="15">
        <v>14642</v>
      </c>
      <c r="AA86" s="15">
        <v>14839</v>
      </c>
      <c r="AB86" s="31">
        <v>14418</v>
      </c>
      <c r="AC86" s="15">
        <f>Z86-AA86</f>
        <v>-197</v>
      </c>
      <c r="AD86" s="1"/>
      <c r="AE86" s="1">
        <v>1</v>
      </c>
      <c r="AF86" s="15" t="s">
        <v>81</v>
      </c>
      <c r="AG86" s="15">
        <v>14839</v>
      </c>
      <c r="AJ86" s="81" t="s">
        <v>522</v>
      </c>
      <c r="AK86" s="82">
        <v>43247</v>
      </c>
      <c r="AN86" s="82">
        <v>0</v>
      </c>
      <c r="AR86" s="32" t="s">
        <v>277</v>
      </c>
      <c r="AS86" s="57">
        <v>53459</v>
      </c>
      <c r="AT86" s="57">
        <v>0</v>
      </c>
      <c r="AU86" s="57">
        <v>0</v>
      </c>
      <c r="AV86" s="57">
        <v>0</v>
      </c>
      <c r="AW86" s="57">
        <v>0</v>
      </c>
      <c r="AZ86" s="32" t="s">
        <v>417</v>
      </c>
      <c r="BA86" s="57">
        <v>53459</v>
      </c>
      <c r="BB86" s="57">
        <v>0</v>
      </c>
      <c r="BC86" s="57">
        <v>0</v>
      </c>
      <c r="BD86" s="57">
        <v>0</v>
      </c>
      <c r="BE86" s="57">
        <v>0</v>
      </c>
      <c r="BF86" s="43"/>
      <c r="BG86" s="43"/>
      <c r="BH86" s="32" t="s">
        <v>277</v>
      </c>
      <c r="BI86" s="33">
        <v>66860</v>
      </c>
      <c r="BJ86" s="33">
        <v>0</v>
      </c>
      <c r="BK86" s="33">
        <v>0</v>
      </c>
      <c r="BL86" s="33">
        <v>0</v>
      </c>
      <c r="BM86" s="33"/>
    </row>
    <row r="87" spans="1:65" ht="21">
      <c r="A87" s="15" t="s">
        <v>232</v>
      </c>
      <c r="B87" s="28"/>
      <c r="C87" s="29">
        <f aca="true" t="shared" si="35" ref="C87:C96">AK87</f>
        <v>28804.25</v>
      </c>
      <c r="D87" s="21">
        <f aca="true" t="shared" si="36" ref="D87:D96">AL87</f>
        <v>0</v>
      </c>
      <c r="E87" s="15">
        <f aca="true" t="shared" si="37" ref="E87:E96">D87+C87</f>
        <v>28804.25</v>
      </c>
      <c r="F87" s="15"/>
      <c r="G87" s="15">
        <f t="shared" si="24"/>
        <v>0</v>
      </c>
      <c r="H87" s="21">
        <f t="shared" si="25"/>
        <v>0</v>
      </c>
      <c r="I87" s="15">
        <f t="shared" si="26"/>
        <v>0</v>
      </c>
      <c r="J87" s="21">
        <f t="shared" si="27"/>
        <v>0</v>
      </c>
      <c r="K87" s="15">
        <f t="shared" si="28"/>
        <v>0</v>
      </c>
      <c r="L87" s="15">
        <f t="shared" si="29"/>
        <v>0</v>
      </c>
      <c r="M87" s="15"/>
      <c r="N87" s="15">
        <f t="shared" si="30"/>
        <v>28804.25</v>
      </c>
      <c r="O87" s="15">
        <f t="shared" si="31"/>
        <v>24523.825</v>
      </c>
      <c r="P87" s="15"/>
      <c r="Q87" s="30" t="s">
        <v>44</v>
      </c>
      <c r="R87" s="15"/>
      <c r="S87" s="76">
        <f t="shared" si="32"/>
        <v>6273</v>
      </c>
      <c r="T87" s="15">
        <f t="shared" si="33"/>
        <v>627</v>
      </c>
      <c r="U87" s="15">
        <f t="shared" si="34"/>
        <v>6900</v>
      </c>
      <c r="V87" s="15"/>
      <c r="W87" s="15" t="s">
        <v>232</v>
      </c>
      <c r="X87" s="15">
        <f aca="true" t="shared" si="38" ref="X87:X96">S87</f>
        <v>6273</v>
      </c>
      <c r="Y87" s="15">
        <v>6431</v>
      </c>
      <c r="Z87" s="15">
        <v>5025</v>
      </c>
      <c r="AA87" s="15">
        <v>9283</v>
      </c>
      <c r="AB87" s="31">
        <v>9020</v>
      </c>
      <c r="AC87" s="15">
        <f>Z87-AA87</f>
        <v>-4258</v>
      </c>
      <c r="AD87" s="1"/>
      <c r="AE87" s="1">
        <v>1</v>
      </c>
      <c r="AF87" s="15" t="s">
        <v>232</v>
      </c>
      <c r="AG87" s="15">
        <v>9283</v>
      </c>
      <c r="AJ87" s="81" t="s">
        <v>278</v>
      </c>
      <c r="AK87" s="82">
        <v>28804.25</v>
      </c>
      <c r="AL87" s="3">
        <v>0</v>
      </c>
      <c r="AM87" s="81">
        <v>0</v>
      </c>
      <c r="AN87" s="81">
        <v>0</v>
      </c>
      <c r="AR87" s="32" t="s">
        <v>278</v>
      </c>
      <c r="AS87" s="57">
        <v>31519.6</v>
      </c>
      <c r="AT87" s="57">
        <v>0</v>
      </c>
      <c r="AU87" s="57">
        <v>0</v>
      </c>
      <c r="AV87" s="57">
        <v>0</v>
      </c>
      <c r="AW87" s="57">
        <v>0</v>
      </c>
      <c r="AZ87" s="32" t="s">
        <v>278</v>
      </c>
      <c r="BA87" s="57">
        <v>31519.6</v>
      </c>
      <c r="BB87" s="57">
        <v>0</v>
      </c>
      <c r="BC87" s="57">
        <v>0</v>
      </c>
      <c r="BD87" s="57">
        <v>0</v>
      </c>
      <c r="BE87" s="57">
        <v>0</v>
      </c>
      <c r="BF87" s="43"/>
      <c r="BG87" s="43"/>
      <c r="BH87" s="32" t="s">
        <v>278</v>
      </c>
      <c r="BI87" s="33">
        <v>23967</v>
      </c>
      <c r="BJ87" s="33">
        <v>0</v>
      </c>
      <c r="BK87" s="33">
        <v>0</v>
      </c>
      <c r="BL87" s="33">
        <v>0</v>
      </c>
      <c r="BM87" s="33">
        <v>0</v>
      </c>
    </row>
    <row r="88" spans="1:65" ht="21">
      <c r="A88" s="15" t="s">
        <v>82</v>
      </c>
      <c r="B88" s="28"/>
      <c r="C88" s="29">
        <f t="shared" si="35"/>
        <v>37131</v>
      </c>
      <c r="D88" s="21">
        <f t="shared" si="36"/>
        <v>0</v>
      </c>
      <c r="E88" s="15">
        <f t="shared" si="37"/>
        <v>37131</v>
      </c>
      <c r="F88" s="15"/>
      <c r="G88" s="15">
        <f t="shared" si="24"/>
        <v>0</v>
      </c>
      <c r="H88" s="21">
        <f t="shared" si="25"/>
        <v>0</v>
      </c>
      <c r="I88" s="15">
        <f t="shared" si="26"/>
        <v>0</v>
      </c>
      <c r="J88" s="21">
        <f t="shared" si="27"/>
        <v>0</v>
      </c>
      <c r="K88" s="15">
        <f t="shared" si="28"/>
        <v>0</v>
      </c>
      <c r="L88" s="15">
        <f t="shared" si="29"/>
        <v>0</v>
      </c>
      <c r="M88" s="15"/>
      <c r="N88" s="15">
        <f t="shared" si="30"/>
        <v>37131</v>
      </c>
      <c r="O88" s="15">
        <f t="shared" si="31"/>
        <v>32017.9</v>
      </c>
      <c r="P88" s="15"/>
      <c r="Q88" s="30" t="s">
        <v>44</v>
      </c>
      <c r="R88" s="15"/>
      <c r="S88" s="76">
        <f t="shared" si="32"/>
        <v>8189</v>
      </c>
      <c r="T88" s="15">
        <f t="shared" si="33"/>
        <v>819</v>
      </c>
      <c r="U88" s="15">
        <f t="shared" si="34"/>
        <v>9008</v>
      </c>
      <c r="V88" s="15"/>
      <c r="W88" s="15" t="s">
        <v>82</v>
      </c>
      <c r="X88" s="15">
        <f t="shared" si="38"/>
        <v>8189</v>
      </c>
      <c r="Y88" s="15">
        <v>9613</v>
      </c>
      <c r="Z88" s="15">
        <v>10509</v>
      </c>
      <c r="AA88" s="15">
        <v>11071</v>
      </c>
      <c r="AB88" s="31">
        <v>8320</v>
      </c>
      <c r="AC88" s="15">
        <f aca="true" t="shared" si="39" ref="AC88:AC97">Z88-AA88</f>
        <v>-562</v>
      </c>
      <c r="AD88" s="1"/>
      <c r="AE88" s="1">
        <v>1</v>
      </c>
      <c r="AF88" s="15" t="s">
        <v>82</v>
      </c>
      <c r="AG88" s="15">
        <v>11071</v>
      </c>
      <c r="AJ88" s="81" t="s">
        <v>282</v>
      </c>
      <c r="AK88" s="81">
        <v>37131</v>
      </c>
      <c r="AL88" s="81">
        <v>0</v>
      </c>
      <c r="AM88" s="81">
        <v>0</v>
      </c>
      <c r="AN88" s="81">
        <v>0</v>
      </c>
      <c r="AO88" s="81">
        <v>0</v>
      </c>
      <c r="AR88" s="32" t="s">
        <v>282</v>
      </c>
      <c r="AS88" s="57">
        <v>46344</v>
      </c>
      <c r="AT88" s="57">
        <v>0</v>
      </c>
      <c r="AU88" s="57">
        <v>0</v>
      </c>
      <c r="AV88" s="57">
        <v>0</v>
      </c>
      <c r="AW88" s="57">
        <v>0</v>
      </c>
      <c r="AZ88" s="32" t="s">
        <v>282</v>
      </c>
      <c r="BA88" s="57">
        <v>46344</v>
      </c>
      <c r="BB88" s="57">
        <v>0</v>
      </c>
      <c r="BC88" s="57">
        <v>0</v>
      </c>
      <c r="BD88" s="57">
        <v>0</v>
      </c>
      <c r="BE88" s="57">
        <v>0</v>
      </c>
      <c r="BF88" s="43"/>
      <c r="BG88" s="43"/>
      <c r="BH88" s="32" t="s">
        <v>282</v>
      </c>
      <c r="BI88" s="33">
        <v>48425</v>
      </c>
      <c r="BJ88" s="33">
        <v>0</v>
      </c>
      <c r="BK88" s="33">
        <v>0</v>
      </c>
      <c r="BL88" s="33">
        <v>0</v>
      </c>
      <c r="BM88" s="33">
        <v>0</v>
      </c>
    </row>
    <row r="89" spans="1:65" ht="21">
      <c r="A89" s="15" t="s">
        <v>578</v>
      </c>
      <c r="B89" s="28"/>
      <c r="C89" s="29">
        <f t="shared" si="35"/>
        <v>0</v>
      </c>
      <c r="D89" s="21">
        <f t="shared" si="36"/>
        <v>0</v>
      </c>
      <c r="E89" s="15">
        <f t="shared" si="37"/>
        <v>0</v>
      </c>
      <c r="F89" s="15"/>
      <c r="G89" s="15">
        <f t="shared" si="24"/>
        <v>0</v>
      </c>
      <c r="H89" s="21">
        <f t="shared" si="25"/>
        <v>0</v>
      </c>
      <c r="I89" s="15">
        <f t="shared" si="26"/>
        <v>0</v>
      </c>
      <c r="J89" s="21">
        <f t="shared" si="27"/>
        <v>0</v>
      </c>
      <c r="K89" s="15">
        <f t="shared" si="28"/>
        <v>0</v>
      </c>
      <c r="L89" s="15">
        <f t="shared" si="29"/>
        <v>0</v>
      </c>
      <c r="M89" s="15"/>
      <c r="N89" s="15">
        <f t="shared" si="30"/>
        <v>0</v>
      </c>
      <c r="O89" s="15">
        <f t="shared" si="31"/>
        <v>0</v>
      </c>
      <c r="P89" s="15"/>
      <c r="Q89" s="30" t="s">
        <v>44</v>
      </c>
      <c r="R89" s="15"/>
      <c r="S89" s="76">
        <f t="shared" si="32"/>
        <v>0</v>
      </c>
      <c r="T89" s="15">
        <f t="shared" si="33"/>
        <v>0</v>
      </c>
      <c r="U89" s="15">
        <f t="shared" si="34"/>
        <v>0</v>
      </c>
      <c r="V89" s="15"/>
      <c r="W89" s="15" t="s">
        <v>193</v>
      </c>
      <c r="X89" s="15">
        <f t="shared" si="38"/>
        <v>0</v>
      </c>
      <c r="Y89" s="15">
        <v>6220</v>
      </c>
      <c r="Z89" s="15">
        <v>3024</v>
      </c>
      <c r="AA89" s="15">
        <v>4974</v>
      </c>
      <c r="AB89" s="31">
        <v>3444</v>
      </c>
      <c r="AC89" s="15">
        <f>Z89-AA89</f>
        <v>-1950</v>
      </c>
      <c r="AD89" s="1"/>
      <c r="AE89" s="1">
        <v>1</v>
      </c>
      <c r="AF89" s="15" t="s">
        <v>193</v>
      </c>
      <c r="AG89" s="15">
        <v>4974</v>
      </c>
      <c r="AJ89" s="1" t="s">
        <v>579</v>
      </c>
      <c r="AK89" s="96">
        <v>0</v>
      </c>
      <c r="AL89" s="81">
        <v>0</v>
      </c>
      <c r="AM89" s="81">
        <v>0</v>
      </c>
      <c r="AN89" s="81">
        <v>0</v>
      </c>
      <c r="AO89" s="81">
        <v>0</v>
      </c>
      <c r="AR89" s="32" t="s">
        <v>275</v>
      </c>
      <c r="AS89" s="57">
        <v>30538</v>
      </c>
      <c r="AT89" s="57"/>
      <c r="AU89" s="57"/>
      <c r="AV89" s="57">
        <v>0</v>
      </c>
      <c r="AW89" s="57"/>
      <c r="AZ89" s="32" t="s">
        <v>418</v>
      </c>
      <c r="BA89" s="57">
        <v>30538</v>
      </c>
      <c r="BB89" s="57"/>
      <c r="BC89" s="57"/>
      <c r="BD89" s="57">
        <v>0</v>
      </c>
      <c r="BE89" s="57"/>
      <c r="BF89" s="43"/>
      <c r="BG89" s="43"/>
      <c r="BH89" s="32" t="s">
        <v>275</v>
      </c>
      <c r="BI89" s="33">
        <v>15043.06</v>
      </c>
      <c r="BJ89" s="33"/>
      <c r="BK89" s="33"/>
      <c r="BL89" s="33">
        <v>0</v>
      </c>
      <c r="BM89" s="33"/>
    </row>
    <row r="90" spans="1:65" ht="21.75">
      <c r="A90" s="15" t="s">
        <v>87</v>
      </c>
      <c r="B90" s="62" t="s">
        <v>105</v>
      </c>
      <c r="C90" s="29">
        <f t="shared" si="35"/>
        <v>2156</v>
      </c>
      <c r="D90" s="21">
        <f t="shared" si="36"/>
        <v>0</v>
      </c>
      <c r="E90" s="15">
        <f t="shared" si="37"/>
        <v>2156</v>
      </c>
      <c r="F90" s="15"/>
      <c r="G90" s="15">
        <f t="shared" si="24"/>
        <v>0</v>
      </c>
      <c r="H90" s="21">
        <f t="shared" si="25"/>
        <v>0</v>
      </c>
      <c r="I90" s="15">
        <f t="shared" si="26"/>
        <v>0</v>
      </c>
      <c r="J90" s="21">
        <f t="shared" si="27"/>
        <v>0</v>
      </c>
      <c r="K90" s="15">
        <f t="shared" si="28"/>
        <v>0</v>
      </c>
      <c r="L90" s="15">
        <f t="shared" si="29"/>
        <v>0</v>
      </c>
      <c r="M90" s="15"/>
      <c r="N90" s="15">
        <f t="shared" si="30"/>
        <v>2156</v>
      </c>
      <c r="O90" s="15">
        <f t="shared" si="31"/>
        <v>893.6</v>
      </c>
      <c r="P90" s="15"/>
      <c r="Q90" s="30" t="s">
        <v>44</v>
      </c>
      <c r="R90" s="15"/>
      <c r="S90" s="76">
        <f t="shared" si="32"/>
        <v>229</v>
      </c>
      <c r="T90" s="15">
        <f t="shared" si="33"/>
        <v>23</v>
      </c>
      <c r="U90" s="15">
        <f t="shared" si="34"/>
        <v>252</v>
      </c>
      <c r="V90" s="15"/>
      <c r="W90" s="15" t="s">
        <v>87</v>
      </c>
      <c r="X90" s="15">
        <f t="shared" si="38"/>
        <v>229</v>
      </c>
      <c r="Y90" s="15">
        <v>213</v>
      </c>
      <c r="Z90" s="15">
        <v>1295</v>
      </c>
      <c r="AA90" s="15">
        <v>1118</v>
      </c>
      <c r="AB90" s="31">
        <v>1419</v>
      </c>
      <c r="AC90" s="15">
        <f t="shared" si="39"/>
        <v>177</v>
      </c>
      <c r="AD90" s="1"/>
      <c r="AE90" s="1">
        <v>1</v>
      </c>
      <c r="AF90" s="15" t="s">
        <v>87</v>
      </c>
      <c r="AG90" s="15">
        <v>1118</v>
      </c>
      <c r="AJ90" s="1" t="s">
        <v>87</v>
      </c>
      <c r="AK90" s="91">
        <f aca="true" t="shared" si="40" ref="AK90:AO91">AS90</f>
        <v>2156</v>
      </c>
      <c r="AL90" s="91">
        <f t="shared" si="40"/>
        <v>0</v>
      </c>
      <c r="AM90" s="91">
        <f t="shared" si="40"/>
        <v>0</v>
      </c>
      <c r="AN90" s="91">
        <f t="shared" si="40"/>
        <v>0</v>
      </c>
      <c r="AO90" s="91">
        <f t="shared" si="40"/>
        <v>0</v>
      </c>
      <c r="AR90" s="32" t="s">
        <v>279</v>
      </c>
      <c r="AS90" s="57">
        <v>2156</v>
      </c>
      <c r="AT90" s="57"/>
      <c r="AU90" s="57">
        <v>0</v>
      </c>
      <c r="AV90" s="57">
        <v>0</v>
      </c>
      <c r="AW90" s="57">
        <v>0</v>
      </c>
      <c r="AZ90" s="32" t="s">
        <v>419</v>
      </c>
      <c r="BA90" s="57">
        <v>2156</v>
      </c>
      <c r="BB90" s="57"/>
      <c r="BC90" s="57">
        <v>0</v>
      </c>
      <c r="BD90" s="57">
        <v>0</v>
      </c>
      <c r="BE90" s="57">
        <v>0</v>
      </c>
      <c r="BF90" s="43"/>
      <c r="BG90" s="43"/>
      <c r="BH90" s="32" t="s">
        <v>279</v>
      </c>
      <c r="BI90" s="33">
        <v>9333.58</v>
      </c>
      <c r="BJ90" s="33">
        <v>0</v>
      </c>
      <c r="BK90" s="33">
        <v>0</v>
      </c>
      <c r="BL90" s="33">
        <v>4000</v>
      </c>
      <c r="BM90" s="33">
        <v>0</v>
      </c>
    </row>
    <row r="91" spans="1:59" ht="21.75">
      <c r="A91" s="15" t="s">
        <v>88</v>
      </c>
      <c r="B91" s="62" t="s">
        <v>105</v>
      </c>
      <c r="C91" s="29">
        <f t="shared" si="35"/>
        <v>3814</v>
      </c>
      <c r="D91" s="21">
        <f t="shared" si="36"/>
        <v>0</v>
      </c>
      <c r="E91" s="15">
        <f t="shared" si="37"/>
        <v>3814</v>
      </c>
      <c r="F91" s="15"/>
      <c r="G91" s="15">
        <f t="shared" si="24"/>
        <v>0</v>
      </c>
      <c r="H91" s="21">
        <f t="shared" si="25"/>
        <v>0</v>
      </c>
      <c r="I91" s="15">
        <f t="shared" si="26"/>
        <v>0</v>
      </c>
      <c r="J91" s="21">
        <f t="shared" si="27"/>
        <v>0</v>
      </c>
      <c r="K91" s="15">
        <f t="shared" si="28"/>
        <v>0</v>
      </c>
      <c r="L91" s="15">
        <f t="shared" si="29"/>
        <v>0</v>
      </c>
      <c r="M91" s="15"/>
      <c r="N91" s="15">
        <f t="shared" si="30"/>
        <v>3814</v>
      </c>
      <c r="O91" s="15">
        <f t="shared" si="31"/>
        <v>2051.2</v>
      </c>
      <c r="P91" s="15"/>
      <c r="Q91" s="30" t="s">
        <v>44</v>
      </c>
      <c r="R91" s="15"/>
      <c r="S91" s="76">
        <f t="shared" si="32"/>
        <v>525</v>
      </c>
      <c r="T91" s="15">
        <f t="shared" si="33"/>
        <v>53</v>
      </c>
      <c r="U91" s="15">
        <f t="shared" si="34"/>
        <v>578</v>
      </c>
      <c r="V91" s="15"/>
      <c r="W91" s="15" t="s">
        <v>88</v>
      </c>
      <c r="X91" s="15">
        <f t="shared" si="38"/>
        <v>525</v>
      </c>
      <c r="Y91" s="15">
        <v>489</v>
      </c>
      <c r="Z91" s="15">
        <v>0</v>
      </c>
      <c r="AA91" s="15">
        <v>1338</v>
      </c>
      <c r="AB91" s="31">
        <v>1220</v>
      </c>
      <c r="AC91" s="15">
        <f t="shared" si="39"/>
        <v>-1338</v>
      </c>
      <c r="AD91" s="1"/>
      <c r="AE91" s="1">
        <v>1</v>
      </c>
      <c r="AF91" s="15" t="s">
        <v>88</v>
      </c>
      <c r="AG91" s="15">
        <v>1338</v>
      </c>
      <c r="AI91" s="39"/>
      <c r="AJ91" s="1" t="s">
        <v>88</v>
      </c>
      <c r="AK91" s="91">
        <f t="shared" si="40"/>
        <v>3814</v>
      </c>
      <c r="AL91" s="91">
        <f t="shared" si="40"/>
        <v>0</v>
      </c>
      <c r="AM91" s="91">
        <f t="shared" si="40"/>
        <v>0</v>
      </c>
      <c r="AN91" s="91">
        <f t="shared" si="40"/>
        <v>0</v>
      </c>
      <c r="AO91" s="91">
        <f t="shared" si="40"/>
        <v>0</v>
      </c>
      <c r="AR91" s="32" t="s">
        <v>420</v>
      </c>
      <c r="AS91" s="57">
        <v>3814</v>
      </c>
      <c r="AT91" s="57">
        <v>0</v>
      </c>
      <c r="AU91" s="57">
        <v>0</v>
      </c>
      <c r="AV91" s="57">
        <v>0</v>
      </c>
      <c r="AW91" s="57">
        <v>0</v>
      </c>
      <c r="AZ91" s="32" t="s">
        <v>420</v>
      </c>
      <c r="BA91" s="57">
        <v>3814</v>
      </c>
      <c r="BB91" s="57">
        <v>0</v>
      </c>
      <c r="BC91" s="57">
        <v>0</v>
      </c>
      <c r="BD91" s="57">
        <v>0</v>
      </c>
      <c r="BE91" s="57">
        <v>0</v>
      </c>
      <c r="BF91" s="43"/>
      <c r="BG91" s="43"/>
    </row>
    <row r="92" spans="1:65" ht="21.75">
      <c r="A92" s="15" t="s">
        <v>89</v>
      </c>
      <c r="B92" s="62"/>
      <c r="C92" s="29">
        <f t="shared" si="35"/>
        <v>69084</v>
      </c>
      <c r="D92" s="21">
        <f t="shared" si="36"/>
        <v>0</v>
      </c>
      <c r="E92" s="15">
        <f t="shared" si="37"/>
        <v>69084</v>
      </c>
      <c r="F92" s="15"/>
      <c r="G92" s="15">
        <f t="shared" si="24"/>
        <v>0</v>
      </c>
      <c r="H92" s="21">
        <f t="shared" si="25"/>
        <v>9200</v>
      </c>
      <c r="I92" s="15">
        <f t="shared" si="26"/>
        <v>4600</v>
      </c>
      <c r="J92" s="21">
        <f t="shared" si="27"/>
        <v>1221</v>
      </c>
      <c r="K92" s="15">
        <f t="shared" si="28"/>
        <v>305.25</v>
      </c>
      <c r="L92" s="15">
        <f t="shared" si="29"/>
        <v>4905.25</v>
      </c>
      <c r="M92" s="15"/>
      <c r="N92" s="15">
        <f t="shared" si="30"/>
        <v>64178.75</v>
      </c>
      <c r="O92" s="15">
        <f t="shared" si="31"/>
        <v>56360.875</v>
      </c>
      <c r="P92" s="15"/>
      <c r="Q92" s="30" t="s">
        <v>44</v>
      </c>
      <c r="R92" s="15"/>
      <c r="S92" s="76">
        <f t="shared" si="32"/>
        <v>14416</v>
      </c>
      <c r="T92" s="15">
        <f t="shared" si="33"/>
        <v>1442</v>
      </c>
      <c r="U92" s="15">
        <f t="shared" si="34"/>
        <v>15858</v>
      </c>
      <c r="V92" s="15"/>
      <c r="W92" s="15" t="s">
        <v>89</v>
      </c>
      <c r="X92" s="15">
        <f t="shared" si="38"/>
        <v>14416</v>
      </c>
      <c r="Y92" s="15">
        <v>13843</v>
      </c>
      <c r="Z92" s="15">
        <v>13039</v>
      </c>
      <c r="AA92" s="15">
        <v>9647</v>
      </c>
      <c r="AB92" s="31">
        <v>9373</v>
      </c>
      <c r="AC92" s="15">
        <f t="shared" si="39"/>
        <v>3392</v>
      </c>
      <c r="AD92" s="1"/>
      <c r="AE92" s="1">
        <v>1</v>
      </c>
      <c r="AF92" s="15" t="s">
        <v>89</v>
      </c>
      <c r="AG92" s="15">
        <v>9647</v>
      </c>
      <c r="AJ92" s="81" t="s">
        <v>421</v>
      </c>
      <c r="AK92" s="81">
        <v>69084</v>
      </c>
      <c r="AL92" s="81">
        <v>0</v>
      </c>
      <c r="AM92" s="81">
        <v>0</v>
      </c>
      <c r="AN92" s="81">
        <v>9200</v>
      </c>
      <c r="AO92" s="81">
        <v>1221</v>
      </c>
      <c r="AR92" s="32" t="s">
        <v>283</v>
      </c>
      <c r="AS92" s="65">
        <f>64410*1.1</f>
        <v>70851</v>
      </c>
      <c r="AT92" s="65"/>
      <c r="AU92" s="65"/>
      <c r="AV92" s="65">
        <f>9402*1.02</f>
        <v>9590.04</v>
      </c>
      <c r="AW92" s="65"/>
      <c r="AY92" s="64" t="s">
        <v>105</v>
      </c>
      <c r="AZ92" s="32" t="s">
        <v>421</v>
      </c>
      <c r="BA92" s="57"/>
      <c r="BB92" s="57"/>
      <c r="BC92" s="57"/>
      <c r="BD92" s="57"/>
      <c r="BE92" s="57"/>
      <c r="BF92" s="43"/>
      <c r="BG92" s="43"/>
      <c r="BH92" s="32" t="s">
        <v>283</v>
      </c>
      <c r="BI92" s="33">
        <v>64410</v>
      </c>
      <c r="BJ92" s="33">
        <v>0</v>
      </c>
      <c r="BK92" s="33">
        <v>0</v>
      </c>
      <c r="BL92" s="33">
        <v>9402</v>
      </c>
      <c r="BM92" s="33">
        <v>0</v>
      </c>
    </row>
    <row r="93" spans="1:65" ht="21">
      <c r="A93" s="15" t="s">
        <v>90</v>
      </c>
      <c r="B93" s="28"/>
      <c r="C93" s="29">
        <f t="shared" si="35"/>
        <v>75672</v>
      </c>
      <c r="D93" s="21">
        <f t="shared" si="36"/>
        <v>0</v>
      </c>
      <c r="E93" s="15">
        <f t="shared" si="37"/>
        <v>75672</v>
      </c>
      <c r="F93" s="15"/>
      <c r="G93" s="15">
        <f t="shared" si="24"/>
        <v>0</v>
      </c>
      <c r="H93" s="21">
        <f t="shared" si="25"/>
        <v>0</v>
      </c>
      <c r="I93" s="15">
        <f t="shared" si="26"/>
        <v>0</v>
      </c>
      <c r="J93" s="21">
        <f t="shared" si="27"/>
        <v>0</v>
      </c>
      <c r="K93" s="15">
        <f t="shared" si="28"/>
        <v>0</v>
      </c>
      <c r="L93" s="15">
        <f t="shared" si="29"/>
        <v>0</v>
      </c>
      <c r="M93" s="15"/>
      <c r="N93" s="15">
        <f t="shared" si="30"/>
        <v>75672</v>
      </c>
      <c r="O93" s="15">
        <f t="shared" si="31"/>
        <v>66704.8</v>
      </c>
      <c r="P93" s="15"/>
      <c r="Q93" s="30" t="s">
        <v>44</v>
      </c>
      <c r="R93" s="15"/>
      <c r="S93" s="76">
        <f t="shared" si="32"/>
        <v>17062</v>
      </c>
      <c r="T93" s="15">
        <f t="shared" si="33"/>
        <v>1706</v>
      </c>
      <c r="U93" s="15">
        <f t="shared" si="34"/>
        <v>18768</v>
      </c>
      <c r="V93" s="15"/>
      <c r="W93" s="15" t="s">
        <v>90</v>
      </c>
      <c r="X93" s="15">
        <f t="shared" si="38"/>
        <v>17062</v>
      </c>
      <c r="Y93" s="15">
        <v>11607</v>
      </c>
      <c r="Z93" s="15">
        <v>11448</v>
      </c>
      <c r="AA93" s="15">
        <v>18910</v>
      </c>
      <c r="AB93" s="31">
        <v>21859</v>
      </c>
      <c r="AC93" s="15">
        <f t="shared" si="39"/>
        <v>-7462</v>
      </c>
      <c r="AD93" s="1"/>
      <c r="AE93" s="1">
        <v>1</v>
      </c>
      <c r="AF93" s="15" t="s">
        <v>90</v>
      </c>
      <c r="AG93" s="15">
        <v>18910</v>
      </c>
      <c r="AJ93" s="81" t="s">
        <v>422</v>
      </c>
      <c r="AK93" s="81">
        <v>75672</v>
      </c>
      <c r="AL93" s="81">
        <v>0</v>
      </c>
      <c r="AM93" s="81">
        <v>0</v>
      </c>
      <c r="AN93" s="81">
        <v>0</v>
      </c>
      <c r="AO93" s="81">
        <v>0</v>
      </c>
      <c r="AR93" s="32" t="s">
        <v>274</v>
      </c>
      <c r="AS93" s="57">
        <v>58485</v>
      </c>
      <c r="AT93" s="57">
        <v>0</v>
      </c>
      <c r="AU93" s="57">
        <v>0</v>
      </c>
      <c r="AV93" s="57">
        <v>0</v>
      </c>
      <c r="AW93" s="57">
        <v>11400</v>
      </c>
      <c r="AZ93" s="32" t="s">
        <v>422</v>
      </c>
      <c r="BA93" s="57">
        <v>58485</v>
      </c>
      <c r="BB93" s="57">
        <v>0</v>
      </c>
      <c r="BC93" s="57">
        <v>0</v>
      </c>
      <c r="BD93" s="57">
        <v>0</v>
      </c>
      <c r="BE93" s="57">
        <v>11400</v>
      </c>
      <c r="BF93" s="43"/>
      <c r="BG93" s="43"/>
      <c r="BH93" s="32" t="s">
        <v>274</v>
      </c>
      <c r="BI93" s="33">
        <v>52615.06</v>
      </c>
      <c r="BJ93" s="33">
        <v>0</v>
      </c>
      <c r="BK93" s="33">
        <v>0</v>
      </c>
      <c r="BL93" s="33">
        <v>0</v>
      </c>
      <c r="BM93" s="33">
        <v>0</v>
      </c>
    </row>
    <row r="94" spans="1:65" ht="21">
      <c r="A94" s="15" t="s">
        <v>401</v>
      </c>
      <c r="B94" s="28"/>
      <c r="C94" s="29">
        <f t="shared" si="35"/>
        <v>176039</v>
      </c>
      <c r="D94" s="21">
        <f t="shared" si="36"/>
        <v>0</v>
      </c>
      <c r="E94" s="15">
        <f t="shared" si="37"/>
        <v>176039</v>
      </c>
      <c r="F94" s="15"/>
      <c r="G94" s="15">
        <f t="shared" si="24"/>
        <v>0</v>
      </c>
      <c r="H94" s="21">
        <f t="shared" si="25"/>
        <v>16800</v>
      </c>
      <c r="I94" s="15">
        <f t="shared" si="26"/>
        <v>8400</v>
      </c>
      <c r="J94" s="21">
        <f t="shared" si="27"/>
        <v>0</v>
      </c>
      <c r="K94" s="15">
        <f t="shared" si="28"/>
        <v>0</v>
      </c>
      <c r="L94" s="15">
        <f t="shared" si="29"/>
        <v>8400</v>
      </c>
      <c r="M94" s="15"/>
      <c r="N94" s="15">
        <f t="shared" si="30"/>
        <v>167639</v>
      </c>
      <c r="O94" s="15">
        <f t="shared" si="31"/>
        <v>149475.1</v>
      </c>
      <c r="P94" s="15"/>
      <c r="Q94" s="30" t="s">
        <v>44</v>
      </c>
      <c r="R94" s="15"/>
      <c r="S94" s="76">
        <f t="shared" si="32"/>
        <v>38232</v>
      </c>
      <c r="T94" s="15">
        <f t="shared" si="33"/>
        <v>3823</v>
      </c>
      <c r="U94" s="15">
        <f t="shared" si="34"/>
        <v>42055</v>
      </c>
      <c r="V94" s="15"/>
      <c r="W94" s="15" t="s">
        <v>91</v>
      </c>
      <c r="X94" s="15">
        <f t="shared" si="38"/>
        <v>38232</v>
      </c>
      <c r="Y94" s="15">
        <v>31860</v>
      </c>
      <c r="Z94" s="15">
        <v>30000</v>
      </c>
      <c r="AA94" s="15">
        <v>25468</v>
      </c>
      <c r="AB94" s="31">
        <v>30696</v>
      </c>
      <c r="AC94" s="15">
        <f t="shared" si="39"/>
        <v>4532</v>
      </c>
      <c r="AD94" s="1"/>
      <c r="AE94" s="1">
        <v>1</v>
      </c>
      <c r="AF94" s="15" t="s">
        <v>91</v>
      </c>
      <c r="AG94" s="15">
        <v>25468</v>
      </c>
      <c r="AJ94" s="81" t="s">
        <v>524</v>
      </c>
      <c r="AK94" s="81">
        <v>176039</v>
      </c>
      <c r="AL94" s="81">
        <v>0</v>
      </c>
      <c r="AM94" s="81">
        <v>0</v>
      </c>
      <c r="AN94" s="81">
        <v>16800</v>
      </c>
      <c r="AO94" s="81">
        <v>0</v>
      </c>
      <c r="AR94" s="32" t="s">
        <v>281</v>
      </c>
      <c r="AS94" s="57">
        <v>150765</v>
      </c>
      <c r="AT94" s="57">
        <v>0</v>
      </c>
      <c r="AU94" s="57">
        <v>0</v>
      </c>
      <c r="AV94" s="57">
        <v>0</v>
      </c>
      <c r="AW94" s="57">
        <v>3058</v>
      </c>
      <c r="AZ94" s="32" t="s">
        <v>423</v>
      </c>
      <c r="BA94" s="57">
        <v>150765</v>
      </c>
      <c r="BB94" s="57">
        <v>0</v>
      </c>
      <c r="BC94" s="57">
        <v>0</v>
      </c>
      <c r="BD94" s="57">
        <v>0</v>
      </c>
      <c r="BE94" s="57">
        <v>3058</v>
      </c>
      <c r="BF94" s="43"/>
      <c r="BG94" s="43"/>
      <c r="BH94" s="32" t="s">
        <v>281</v>
      </c>
      <c r="BI94" s="33">
        <f>113160+23005</f>
        <v>136165</v>
      </c>
      <c r="BJ94" s="33">
        <v>0</v>
      </c>
      <c r="BK94" s="33">
        <v>0</v>
      </c>
      <c r="BL94" s="33">
        <v>0</v>
      </c>
      <c r="BM94" s="33">
        <v>3225</v>
      </c>
    </row>
    <row r="95" spans="1:65" ht="21">
      <c r="A95" s="15" t="s">
        <v>92</v>
      </c>
      <c r="B95" s="28"/>
      <c r="C95" s="29">
        <f t="shared" si="35"/>
        <v>29737</v>
      </c>
      <c r="D95" s="21">
        <f t="shared" si="36"/>
        <v>0</v>
      </c>
      <c r="E95" s="15">
        <f t="shared" si="37"/>
        <v>29737</v>
      </c>
      <c r="F95" s="15"/>
      <c r="G95" s="15">
        <f t="shared" si="24"/>
        <v>0</v>
      </c>
      <c r="H95" s="21">
        <f t="shared" si="25"/>
        <v>0</v>
      </c>
      <c r="I95" s="15">
        <f t="shared" si="26"/>
        <v>0</v>
      </c>
      <c r="J95" s="21">
        <f t="shared" si="27"/>
        <v>0</v>
      </c>
      <c r="K95" s="15">
        <f t="shared" si="28"/>
        <v>0</v>
      </c>
      <c r="L95" s="15">
        <f t="shared" si="29"/>
        <v>0</v>
      </c>
      <c r="M95" s="15"/>
      <c r="N95" s="15">
        <f t="shared" si="30"/>
        <v>29737</v>
      </c>
      <c r="O95" s="15">
        <f t="shared" si="31"/>
        <v>25363.3</v>
      </c>
      <c r="P95" s="15"/>
      <c r="Q95" s="30" t="s">
        <v>44</v>
      </c>
      <c r="R95" s="15"/>
      <c r="S95" s="76">
        <f t="shared" si="32"/>
        <v>6487</v>
      </c>
      <c r="T95" s="15">
        <f t="shared" si="33"/>
        <v>649</v>
      </c>
      <c r="U95" s="15">
        <f t="shared" si="34"/>
        <v>7136</v>
      </c>
      <c r="V95" s="15"/>
      <c r="W95" s="15" t="s">
        <v>92</v>
      </c>
      <c r="X95" s="15">
        <f t="shared" si="38"/>
        <v>6487</v>
      </c>
      <c r="Y95" s="15">
        <v>6428</v>
      </c>
      <c r="Z95" s="15">
        <v>7265</v>
      </c>
      <c r="AA95" s="15">
        <v>7210</v>
      </c>
      <c r="AB95" s="31">
        <v>6881</v>
      </c>
      <c r="AC95" s="15">
        <f t="shared" si="39"/>
        <v>55</v>
      </c>
      <c r="AD95" s="1"/>
      <c r="AE95" s="1">
        <v>1</v>
      </c>
      <c r="AF95" s="15" t="s">
        <v>92</v>
      </c>
      <c r="AG95" s="15">
        <v>7210</v>
      </c>
      <c r="AJ95" s="81" t="s">
        <v>523</v>
      </c>
      <c r="AK95" s="81">
        <v>29737</v>
      </c>
      <c r="AL95" s="81">
        <v>0</v>
      </c>
      <c r="AM95" s="81">
        <v>0</v>
      </c>
      <c r="AN95" s="81">
        <v>0</v>
      </c>
      <c r="AO95" s="81">
        <v>0</v>
      </c>
      <c r="AR95" s="32" t="s">
        <v>280</v>
      </c>
      <c r="AS95" s="57">
        <v>31504</v>
      </c>
      <c r="AT95" s="57">
        <v>0</v>
      </c>
      <c r="AU95" s="57">
        <v>0</v>
      </c>
      <c r="AV95" s="57">
        <v>0</v>
      </c>
      <c r="AW95" s="57">
        <v>0</v>
      </c>
      <c r="AZ95" s="32" t="s">
        <v>424</v>
      </c>
      <c r="BA95" s="57">
        <v>31504</v>
      </c>
      <c r="BB95" s="57">
        <v>0</v>
      </c>
      <c r="BC95" s="57">
        <v>0</v>
      </c>
      <c r="BD95" s="57">
        <v>0</v>
      </c>
      <c r="BE95" s="57">
        <v>0</v>
      </c>
      <c r="BF95" s="43"/>
      <c r="BG95" s="43"/>
      <c r="BH95" s="32" t="s">
        <v>280</v>
      </c>
      <c r="BI95" s="33">
        <v>33959</v>
      </c>
      <c r="BJ95" s="33">
        <v>0</v>
      </c>
      <c r="BK95" s="33">
        <v>0</v>
      </c>
      <c r="BL95" s="33">
        <v>0</v>
      </c>
      <c r="BM95" s="33">
        <v>0</v>
      </c>
    </row>
    <row r="96" spans="1:65" ht="21">
      <c r="A96" s="15" t="s">
        <v>220</v>
      </c>
      <c r="B96" s="28"/>
      <c r="C96" s="29">
        <f t="shared" si="35"/>
        <v>28326</v>
      </c>
      <c r="D96" s="21">
        <f t="shared" si="36"/>
        <v>0</v>
      </c>
      <c r="E96" s="15">
        <f t="shared" si="37"/>
        <v>28326</v>
      </c>
      <c r="F96" s="15"/>
      <c r="G96" s="15">
        <f t="shared" si="24"/>
        <v>0</v>
      </c>
      <c r="H96" s="21">
        <f t="shared" si="25"/>
        <v>0</v>
      </c>
      <c r="I96" s="15">
        <f t="shared" si="26"/>
        <v>0</v>
      </c>
      <c r="J96" s="21">
        <f t="shared" si="27"/>
        <v>0</v>
      </c>
      <c r="K96" s="15">
        <f>J96*0.25</f>
        <v>0</v>
      </c>
      <c r="L96" s="15">
        <f>+G96+I96+K96</f>
        <v>0</v>
      </c>
      <c r="M96" s="15"/>
      <c r="N96" s="15">
        <f t="shared" si="30"/>
        <v>28326</v>
      </c>
      <c r="O96" s="15">
        <f t="shared" si="31"/>
        <v>24093.4</v>
      </c>
      <c r="P96" s="15"/>
      <c r="Q96" s="30" t="s">
        <v>44</v>
      </c>
      <c r="R96" s="15"/>
      <c r="S96" s="76">
        <f t="shared" si="32"/>
        <v>6163</v>
      </c>
      <c r="T96" s="15">
        <f t="shared" si="33"/>
        <v>616</v>
      </c>
      <c r="U96" s="15">
        <f t="shared" si="34"/>
        <v>6779</v>
      </c>
      <c r="V96" s="15"/>
      <c r="W96" s="15" t="s">
        <v>220</v>
      </c>
      <c r="X96" s="15">
        <f t="shared" si="38"/>
        <v>6163</v>
      </c>
      <c r="Y96" s="15">
        <v>4288</v>
      </c>
      <c r="Z96" s="15">
        <v>3900</v>
      </c>
      <c r="AA96" s="15">
        <v>3857</v>
      </c>
      <c r="AB96" s="31">
        <v>3477</v>
      </c>
      <c r="AC96" s="15">
        <f t="shared" si="39"/>
        <v>43</v>
      </c>
      <c r="AD96" s="1"/>
      <c r="AE96" s="1">
        <v>1</v>
      </c>
      <c r="AF96" s="15" t="s">
        <v>220</v>
      </c>
      <c r="AG96" s="15">
        <v>3857</v>
      </c>
      <c r="AJ96" s="81" t="s">
        <v>276</v>
      </c>
      <c r="AK96" s="81">
        <v>28326</v>
      </c>
      <c r="AL96" s="81">
        <v>0</v>
      </c>
      <c r="AM96" s="81">
        <v>0</v>
      </c>
      <c r="AN96" s="81">
        <v>0</v>
      </c>
      <c r="AO96" s="81">
        <v>0</v>
      </c>
      <c r="AR96" s="32" t="s">
        <v>276</v>
      </c>
      <c r="AS96" s="57">
        <v>21535</v>
      </c>
      <c r="AT96" s="57">
        <v>0</v>
      </c>
      <c r="AU96" s="57">
        <v>0</v>
      </c>
      <c r="AV96" s="57">
        <v>0</v>
      </c>
      <c r="AW96" s="57">
        <v>0</v>
      </c>
      <c r="AZ96" s="32" t="s">
        <v>276</v>
      </c>
      <c r="BA96" s="57">
        <v>21535</v>
      </c>
      <c r="BB96" s="57">
        <v>0</v>
      </c>
      <c r="BC96" s="57">
        <v>0</v>
      </c>
      <c r="BD96" s="57">
        <v>0</v>
      </c>
      <c r="BE96" s="57">
        <v>0</v>
      </c>
      <c r="BF96" s="43"/>
      <c r="BG96" s="43"/>
      <c r="BH96" s="32" t="s">
        <v>276</v>
      </c>
      <c r="BI96" s="33">
        <v>18951</v>
      </c>
      <c r="BJ96" s="33">
        <v>0</v>
      </c>
      <c r="BK96" s="33">
        <v>0</v>
      </c>
      <c r="BL96" s="33">
        <v>0</v>
      </c>
      <c r="BM96" s="33">
        <v>0</v>
      </c>
    </row>
    <row r="97" spans="1:33" ht="21">
      <c r="A97" s="19" t="s">
        <v>3</v>
      </c>
      <c r="B97" s="15"/>
      <c r="C97" s="19" t="s">
        <v>3</v>
      </c>
      <c r="D97" s="19" t="s">
        <v>3</v>
      </c>
      <c r="E97" s="19" t="s">
        <v>3</v>
      </c>
      <c r="F97" s="15"/>
      <c r="G97" s="19" t="s">
        <v>3</v>
      </c>
      <c r="H97" s="19" t="s">
        <v>3</v>
      </c>
      <c r="I97" s="19" t="s">
        <v>3</v>
      </c>
      <c r="J97" s="19" t="s">
        <v>3</v>
      </c>
      <c r="K97" s="19" t="s">
        <v>3</v>
      </c>
      <c r="L97" s="19" t="s">
        <v>3</v>
      </c>
      <c r="M97" s="15"/>
      <c r="N97" s="19" t="s">
        <v>3</v>
      </c>
      <c r="O97" s="19" t="s">
        <v>3</v>
      </c>
      <c r="P97" s="15"/>
      <c r="Q97" s="15"/>
      <c r="R97" s="15"/>
      <c r="S97" s="78" t="s">
        <v>3</v>
      </c>
      <c r="T97" s="19" t="s">
        <v>3</v>
      </c>
      <c r="U97" s="19" t="s">
        <v>3</v>
      </c>
      <c r="V97" s="15"/>
      <c r="AB97" s="38"/>
      <c r="AC97" s="15">
        <f t="shared" si="39"/>
        <v>0</v>
      </c>
      <c r="AD97" s="1"/>
      <c r="AE97" s="1"/>
      <c r="AF97" s="1"/>
      <c r="AG97" s="1"/>
    </row>
    <row r="98" spans="1:40" ht="21">
      <c r="A98" s="15" t="s">
        <v>48</v>
      </c>
      <c r="B98" s="15"/>
      <c r="C98" s="15">
        <f>SUM(C85:C97)</f>
        <v>494010.25</v>
      </c>
      <c r="D98" s="15">
        <f>SUM(D85:D97)</f>
        <v>0</v>
      </c>
      <c r="E98" s="15">
        <f>SUM(E85:E97)</f>
        <v>494010.25</v>
      </c>
      <c r="F98" s="15"/>
      <c r="G98" s="15">
        <f aca="true" t="shared" si="41" ref="G98:L98">SUM(G85:G97)</f>
        <v>0</v>
      </c>
      <c r="H98" s="15">
        <f t="shared" si="41"/>
        <v>26000</v>
      </c>
      <c r="I98" s="15">
        <f t="shared" si="41"/>
        <v>13000</v>
      </c>
      <c r="J98" s="15">
        <f t="shared" si="41"/>
        <v>1221</v>
      </c>
      <c r="K98" s="15">
        <f t="shared" si="41"/>
        <v>305.25</v>
      </c>
      <c r="L98" s="15">
        <f t="shared" si="41"/>
        <v>13305.25</v>
      </c>
      <c r="M98" s="15"/>
      <c r="N98" s="15">
        <f>SUM(N85:N97)</f>
        <v>480705</v>
      </c>
      <c r="O98" s="15">
        <f>SUM(O85:O97)</f>
        <v>419006.3</v>
      </c>
      <c r="P98" s="15"/>
      <c r="Q98" s="18" t="s">
        <v>49</v>
      </c>
      <c r="R98" s="15"/>
      <c r="S98" s="76">
        <f>SUM(S85:S97)</f>
        <v>107173</v>
      </c>
      <c r="T98" s="15">
        <f>SUM(T85:T97)</f>
        <v>10718</v>
      </c>
      <c r="U98" s="15">
        <f>SUM(U85:U97)</f>
        <v>117891</v>
      </c>
      <c r="V98" s="15"/>
      <c r="W98" s="15"/>
      <c r="X98" s="31">
        <f>SUM(X86:X97)</f>
        <v>107173</v>
      </c>
      <c r="Y98" s="31">
        <f>SUM(Y86:Y97)</f>
        <v>102132</v>
      </c>
      <c r="Z98" s="31">
        <f>SUM(Z86:Z97)</f>
        <v>100147</v>
      </c>
      <c r="AA98" s="31">
        <f>SUM(AA86:AA97)</f>
        <v>107715</v>
      </c>
      <c r="AB98" s="31">
        <f>SUM(AB86:AB97)</f>
        <v>110127</v>
      </c>
      <c r="AC98" s="15">
        <f>Z98-AA98</f>
        <v>-7568</v>
      </c>
      <c r="AD98" s="1"/>
      <c r="AE98" s="1"/>
      <c r="AF98" s="1"/>
      <c r="AG98" s="1"/>
      <c r="AJ98" s="81"/>
      <c r="AK98" s="82"/>
      <c r="AN98" s="82"/>
    </row>
    <row r="99" spans="1:65" ht="21">
      <c r="A99" s="19" t="s">
        <v>3</v>
      </c>
      <c r="B99" s="15"/>
      <c r="C99" s="19" t="s">
        <v>3</v>
      </c>
      <c r="D99" s="19" t="s">
        <v>3</v>
      </c>
      <c r="E99" s="19" t="s">
        <v>3</v>
      </c>
      <c r="F99" s="15"/>
      <c r="G99" s="19" t="s">
        <v>3</v>
      </c>
      <c r="H99" s="19" t="s">
        <v>3</v>
      </c>
      <c r="I99" s="19" t="s">
        <v>3</v>
      </c>
      <c r="J99" s="19" t="s">
        <v>3</v>
      </c>
      <c r="K99" s="19" t="s">
        <v>3</v>
      </c>
      <c r="L99" s="19" t="s">
        <v>3</v>
      </c>
      <c r="M99" s="15"/>
      <c r="N99" s="19" t="s">
        <v>3</v>
      </c>
      <c r="O99" s="19" t="s">
        <v>3</v>
      </c>
      <c r="P99" s="15"/>
      <c r="Q99" s="15"/>
      <c r="R99" s="15"/>
      <c r="S99" s="78" t="s">
        <v>3</v>
      </c>
      <c r="T99" s="19" t="s">
        <v>3</v>
      </c>
      <c r="U99" s="19" t="s">
        <v>3</v>
      </c>
      <c r="V99" s="15"/>
      <c r="W99" s="15"/>
      <c r="X99" s="15"/>
      <c r="Y99" s="15"/>
      <c r="Z99" s="1"/>
      <c r="AA99" s="1"/>
      <c r="AB99" s="38"/>
      <c r="AC99" s="1"/>
      <c r="AD99" s="1"/>
      <c r="AE99" s="1"/>
      <c r="AF99" s="1"/>
      <c r="AG99" s="1"/>
      <c r="AR99" s="36"/>
      <c r="BH99" s="36"/>
      <c r="BI99" s="37"/>
      <c r="BJ99" s="37"/>
      <c r="BK99" s="37"/>
      <c r="BL99" s="37"/>
      <c r="BM99" s="37"/>
    </row>
    <row r="100" spans="1:28" ht="2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79"/>
      <c r="T100" s="35"/>
      <c r="U100" s="35"/>
      <c r="V100" s="35"/>
      <c r="W100" s="35"/>
      <c r="X100" s="35"/>
      <c r="Y100" s="35"/>
      <c r="AB100" s="38"/>
    </row>
    <row r="101" spans="1:33" ht="21">
      <c r="A101" s="15" t="s">
        <v>61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76"/>
      <c r="T101" s="15"/>
      <c r="U101" s="15"/>
      <c r="V101" s="15"/>
      <c r="W101" s="15"/>
      <c r="X101" s="15"/>
      <c r="Y101" s="15"/>
      <c r="Z101" s="1"/>
      <c r="AA101" s="1"/>
      <c r="AB101" s="38"/>
      <c r="AC101" s="1"/>
      <c r="AD101" s="1"/>
      <c r="AE101" s="1"/>
      <c r="AF101" s="1"/>
      <c r="AG101" s="1"/>
    </row>
    <row r="102" spans="1:33" ht="21">
      <c r="A102" s="15" t="s">
        <v>187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76"/>
      <c r="T102" s="15"/>
      <c r="U102" s="15"/>
      <c r="V102" s="15"/>
      <c r="W102" s="15"/>
      <c r="X102" s="15"/>
      <c r="Y102" s="15"/>
      <c r="Z102" s="1"/>
      <c r="AA102" s="1"/>
      <c r="AB102" s="38"/>
      <c r="AC102" s="1"/>
      <c r="AD102" s="1"/>
      <c r="AE102" s="1"/>
      <c r="AF102" s="1"/>
      <c r="AG102" s="1"/>
    </row>
    <row r="103" spans="1:33" ht="21">
      <c r="A103" s="15" t="s">
        <v>63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76"/>
      <c r="T103" s="15"/>
      <c r="U103" s="15"/>
      <c r="V103" s="15"/>
      <c r="W103" s="15" t="s">
        <v>400</v>
      </c>
      <c r="X103" s="15"/>
      <c r="Y103" s="15"/>
      <c r="Z103" s="1">
        <v>24709</v>
      </c>
      <c r="AA103" s="4" t="s">
        <v>402</v>
      </c>
      <c r="AB103" s="40">
        <f>24709+5291</f>
        <v>30000</v>
      </c>
      <c r="AC103" s="1"/>
      <c r="AD103" s="1"/>
      <c r="AE103" s="1"/>
      <c r="AF103" s="1"/>
      <c r="AG103" s="1"/>
    </row>
    <row r="104" spans="1:33" ht="21">
      <c r="A104" s="15" t="s">
        <v>62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76"/>
      <c r="T104" s="15"/>
      <c r="U104" s="15"/>
      <c r="V104" s="15"/>
      <c r="W104" s="15" t="s">
        <v>399</v>
      </c>
      <c r="X104" s="15"/>
      <c r="Y104" s="15"/>
      <c r="Z104" s="1">
        <v>24848</v>
      </c>
      <c r="AA104" s="1"/>
      <c r="AB104" s="38"/>
      <c r="AC104" s="1"/>
      <c r="AD104" s="1"/>
      <c r="AE104" s="1"/>
      <c r="AF104" s="1"/>
      <c r="AG104" s="1"/>
    </row>
    <row r="105" spans="1:33" ht="21">
      <c r="A105" s="35" t="s">
        <v>188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76"/>
      <c r="T105" s="15"/>
      <c r="U105" s="15"/>
      <c r="V105" s="15"/>
      <c r="W105" s="15"/>
      <c r="X105" s="15"/>
      <c r="Y105" s="15"/>
      <c r="Z105" s="1"/>
      <c r="AA105" s="1"/>
      <c r="AB105" s="38"/>
      <c r="AC105" s="1"/>
      <c r="AD105" s="1"/>
      <c r="AE105" s="1"/>
      <c r="AF105" s="1"/>
      <c r="AG105" s="1"/>
    </row>
    <row r="106" spans="1:28" ht="2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79"/>
      <c r="T106" s="35"/>
      <c r="U106" s="35"/>
      <c r="V106" s="35"/>
      <c r="W106" s="35"/>
      <c r="X106" s="35"/>
      <c r="Y106" s="35"/>
      <c r="AB106" s="38"/>
    </row>
    <row r="107" spans="1:33" ht="21">
      <c r="A107" s="15" t="s">
        <v>64</v>
      </c>
      <c r="B107" s="15"/>
      <c r="C107" s="15"/>
      <c r="D107" s="15" t="s">
        <v>65</v>
      </c>
      <c r="E107" s="15"/>
      <c r="F107" s="15"/>
      <c r="G107" s="15"/>
      <c r="H107" s="15"/>
      <c r="I107" s="15"/>
      <c r="J107" s="15"/>
      <c r="K107" s="15"/>
      <c r="L107" s="15" t="s">
        <v>66</v>
      </c>
      <c r="M107" s="15"/>
      <c r="N107" s="15"/>
      <c r="O107" s="15"/>
      <c r="P107" s="15"/>
      <c r="Q107" s="15"/>
      <c r="R107" s="15"/>
      <c r="S107" s="76"/>
      <c r="T107" s="15"/>
      <c r="U107" s="15"/>
      <c r="V107" s="15"/>
      <c r="W107" s="15"/>
      <c r="X107" s="15"/>
      <c r="Y107" s="15"/>
      <c r="Z107" s="1"/>
      <c r="AA107" s="1"/>
      <c r="AB107" s="38"/>
      <c r="AC107" s="1"/>
      <c r="AD107" s="1"/>
      <c r="AE107" s="1"/>
      <c r="AF107" s="1"/>
      <c r="AG107" s="1"/>
    </row>
    <row r="108" spans="1:33" ht="21">
      <c r="A108" s="19" t="s">
        <v>3</v>
      </c>
      <c r="B108" s="15"/>
      <c r="C108" s="15"/>
      <c r="D108" s="19" t="s">
        <v>3</v>
      </c>
      <c r="E108" s="19" t="s">
        <v>3</v>
      </c>
      <c r="F108" s="15"/>
      <c r="G108" s="15"/>
      <c r="H108" s="15"/>
      <c r="I108" s="15"/>
      <c r="J108" s="15"/>
      <c r="K108" s="15"/>
      <c r="L108" s="15" t="s">
        <v>67</v>
      </c>
      <c r="M108" s="15"/>
      <c r="N108" s="15"/>
      <c r="O108" s="15"/>
      <c r="P108" s="15"/>
      <c r="Q108" s="15"/>
      <c r="R108" s="15"/>
      <c r="S108" s="76"/>
      <c r="T108" s="15"/>
      <c r="U108" s="15"/>
      <c r="V108" s="15"/>
      <c r="W108" s="15"/>
      <c r="X108" s="15"/>
      <c r="Y108" s="15"/>
      <c r="Z108" s="1"/>
      <c r="AA108" s="1"/>
      <c r="AB108" s="38"/>
      <c r="AC108" s="1"/>
      <c r="AD108" s="1"/>
      <c r="AE108" s="1"/>
      <c r="AF108" s="1"/>
      <c r="AG108" s="1"/>
    </row>
    <row r="109" spans="1:33" ht="21">
      <c r="A109" s="15" t="s">
        <v>68</v>
      </c>
      <c r="B109" s="15"/>
      <c r="C109" s="15"/>
      <c r="D109" s="15" t="s">
        <v>69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76"/>
      <c r="T109" s="15"/>
      <c r="U109" s="15"/>
      <c r="V109" s="15"/>
      <c r="W109" s="15"/>
      <c r="X109" s="15"/>
      <c r="Y109" s="15"/>
      <c r="Z109" s="1"/>
      <c r="AA109" s="1"/>
      <c r="AB109" s="38"/>
      <c r="AC109" s="1"/>
      <c r="AD109" s="1"/>
      <c r="AE109" s="1"/>
      <c r="AF109" s="1"/>
      <c r="AG109" s="1"/>
    </row>
    <row r="110" spans="1:33" ht="21">
      <c r="A110" s="15" t="s">
        <v>70</v>
      </c>
      <c r="B110" s="15"/>
      <c r="C110" s="15"/>
      <c r="D110" s="15" t="s">
        <v>71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76"/>
      <c r="T110" s="15"/>
      <c r="U110" s="15"/>
      <c r="V110" s="15"/>
      <c r="W110" s="15"/>
      <c r="X110" s="15"/>
      <c r="Y110" s="15"/>
      <c r="Z110" s="1"/>
      <c r="AA110" s="1"/>
      <c r="AB110" s="38"/>
      <c r="AC110" s="1"/>
      <c r="AD110" s="1"/>
      <c r="AE110" s="1"/>
      <c r="AF110" s="1"/>
      <c r="AG110" s="1"/>
    </row>
    <row r="111" spans="1:33" ht="21">
      <c r="A111" s="15" t="s">
        <v>72</v>
      </c>
      <c r="B111" s="15"/>
      <c r="C111" s="15"/>
      <c r="D111" s="15" t="s">
        <v>73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76"/>
      <c r="T111" s="15"/>
      <c r="U111" s="15"/>
      <c r="V111" s="15"/>
      <c r="W111" s="15"/>
      <c r="X111" s="15"/>
      <c r="Y111" s="15"/>
      <c r="Z111" s="1"/>
      <c r="AA111" s="1"/>
      <c r="AB111" s="38"/>
      <c r="AC111" s="1"/>
      <c r="AD111" s="1"/>
      <c r="AE111" s="1"/>
      <c r="AF111" s="1"/>
      <c r="AG111" s="1"/>
    </row>
    <row r="112" spans="1:33" ht="21">
      <c r="A112" s="15" t="s">
        <v>74</v>
      </c>
      <c r="B112" s="15"/>
      <c r="C112" s="15"/>
      <c r="D112" s="15" t="s">
        <v>75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76"/>
      <c r="T112" s="15"/>
      <c r="U112" s="15"/>
      <c r="V112" s="15"/>
      <c r="W112" s="15"/>
      <c r="X112" s="15"/>
      <c r="Y112" s="15"/>
      <c r="Z112" s="1"/>
      <c r="AA112" s="1"/>
      <c r="AB112" s="38"/>
      <c r="AC112" s="1"/>
      <c r="AD112" s="1"/>
      <c r="AE112" s="1"/>
      <c r="AF112" s="1"/>
      <c r="AG112" s="1"/>
    </row>
    <row r="113" spans="1:28" ht="2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79"/>
      <c r="T113" s="35"/>
      <c r="U113" s="35"/>
      <c r="V113" s="35"/>
      <c r="W113" s="35"/>
      <c r="X113" s="35"/>
      <c r="Y113" s="35"/>
      <c r="AB113" s="38"/>
    </row>
    <row r="114" spans="1:33" ht="2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76"/>
      <c r="T114" s="15"/>
      <c r="U114" s="15"/>
      <c r="V114" s="15"/>
      <c r="W114" s="15"/>
      <c r="X114" s="15"/>
      <c r="Y114" s="15"/>
      <c r="Z114" s="1"/>
      <c r="AA114" s="1"/>
      <c r="AB114" s="38"/>
      <c r="AC114" s="1"/>
      <c r="AD114" s="1"/>
      <c r="AE114" s="1"/>
      <c r="AF114" s="1"/>
      <c r="AG114" s="1"/>
    </row>
    <row r="115" spans="1:28" ht="2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79"/>
      <c r="T115" s="35"/>
      <c r="U115" s="35"/>
      <c r="V115" s="35"/>
      <c r="W115" s="35"/>
      <c r="X115" s="35"/>
      <c r="Y115" s="35"/>
      <c r="AB115" s="38"/>
    </row>
    <row r="116" spans="1:33" ht="21">
      <c r="A116" s="15" t="s">
        <v>0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76"/>
      <c r="T116" s="15"/>
      <c r="U116" s="15"/>
      <c r="V116" s="15"/>
      <c r="W116" s="15"/>
      <c r="X116" s="15"/>
      <c r="Y116" s="15"/>
      <c r="Z116" s="1"/>
      <c r="AA116" s="1"/>
      <c r="AB116" s="38"/>
      <c r="AC116" s="1"/>
      <c r="AD116" s="1"/>
      <c r="AE116" s="1"/>
      <c r="AF116" s="1"/>
      <c r="AG116" s="1"/>
    </row>
    <row r="117" spans="1:33" ht="21">
      <c r="A117" s="15" t="str">
        <f>$A$3</f>
        <v>MISSION &amp; SERVICE BUDGET APPORTIONMENT 2022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76"/>
      <c r="T117" s="15"/>
      <c r="U117" s="15"/>
      <c r="V117" s="15"/>
      <c r="W117" s="15"/>
      <c r="X117" s="15"/>
      <c r="Y117" s="15"/>
      <c r="Z117" s="1"/>
      <c r="AA117" s="1"/>
      <c r="AB117" s="38"/>
      <c r="AC117" s="1"/>
      <c r="AD117" s="1"/>
      <c r="AE117" s="1"/>
      <c r="AF117" s="1"/>
      <c r="AG117" s="1"/>
    </row>
    <row r="118" spans="1:33" ht="2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76"/>
      <c r="T118" s="15"/>
      <c r="U118" s="15"/>
      <c r="V118" s="15"/>
      <c r="W118" s="15"/>
      <c r="X118" s="15"/>
      <c r="Y118" s="15"/>
      <c r="Z118" s="1"/>
      <c r="AA118" s="1"/>
      <c r="AB118" s="38"/>
      <c r="AC118" s="1"/>
      <c r="AD118" s="1"/>
      <c r="AE118" s="1"/>
      <c r="AF118" s="1"/>
      <c r="AG118" s="1"/>
    </row>
    <row r="119" spans="1:33" ht="21">
      <c r="A119" s="15" t="s">
        <v>93</v>
      </c>
      <c r="B119" s="15" t="s">
        <v>2</v>
      </c>
      <c r="C119" s="15" t="str">
        <f>C32</f>
        <v>2020 expenses</v>
      </c>
      <c r="D119" s="15"/>
      <c r="E119" s="15"/>
      <c r="F119" s="15" t="s">
        <v>2</v>
      </c>
      <c r="G119" s="19" t="s">
        <v>3</v>
      </c>
      <c r="H119" s="19" t="s">
        <v>3</v>
      </c>
      <c r="I119" s="19" t="s">
        <v>3</v>
      </c>
      <c r="J119" s="18" t="s">
        <v>4</v>
      </c>
      <c r="K119" s="19" t="s">
        <v>3</v>
      </c>
      <c r="L119" s="19" t="s">
        <v>3</v>
      </c>
      <c r="M119" s="15" t="s">
        <v>2</v>
      </c>
      <c r="N119" s="15" t="s">
        <v>5</v>
      </c>
      <c r="O119" s="15"/>
      <c r="P119" s="15" t="s">
        <v>2</v>
      </c>
      <c r="Q119" s="18" t="s">
        <v>6</v>
      </c>
      <c r="R119" s="15" t="s">
        <v>2</v>
      </c>
      <c r="S119" s="76" t="str">
        <f>S32</f>
        <v>------------------------</v>
      </c>
      <c r="T119" s="18" t="str">
        <f>+T79</f>
        <v>APPORTIONMENT</v>
      </c>
      <c r="U119" s="15" t="str">
        <f>+U79</f>
        <v>---------------------</v>
      </c>
      <c r="V119" s="15" t="s">
        <v>2</v>
      </c>
      <c r="W119" s="15"/>
      <c r="X119" s="15"/>
      <c r="Y119" s="15"/>
      <c r="Z119" s="1"/>
      <c r="AA119" s="1"/>
      <c r="AB119" s="38"/>
      <c r="AC119" s="1"/>
      <c r="AD119" s="1"/>
      <c r="AE119" s="1"/>
      <c r="AF119" s="1"/>
      <c r="AG119" s="1"/>
    </row>
    <row r="120" spans="1:33" ht="21">
      <c r="A120" s="15"/>
      <c r="B120" s="15" t="s">
        <v>2</v>
      </c>
      <c r="C120" s="15"/>
      <c r="D120" s="15"/>
      <c r="E120" s="15"/>
      <c r="F120" s="15" t="s">
        <v>2</v>
      </c>
      <c r="G120" s="15"/>
      <c r="H120" s="15"/>
      <c r="I120" s="15"/>
      <c r="J120" s="15"/>
      <c r="K120" s="15"/>
      <c r="L120" s="15"/>
      <c r="M120" s="15" t="s">
        <v>2</v>
      </c>
      <c r="N120" s="15"/>
      <c r="O120" s="20" t="s">
        <v>8</v>
      </c>
      <c r="P120" s="15" t="s">
        <v>2</v>
      </c>
      <c r="Q120" s="15"/>
      <c r="R120" s="15" t="s">
        <v>2</v>
      </c>
      <c r="S120" s="76"/>
      <c r="T120" s="15"/>
      <c r="U120" s="15"/>
      <c r="V120" s="15" t="s">
        <v>2</v>
      </c>
      <c r="W120" s="15"/>
      <c r="X120" s="15"/>
      <c r="Y120" s="15"/>
      <c r="Z120" s="1"/>
      <c r="AA120" s="1"/>
      <c r="AB120" s="38"/>
      <c r="AC120" s="1"/>
      <c r="AD120" s="1"/>
      <c r="AE120" s="1"/>
      <c r="AF120" s="1"/>
      <c r="AG120" s="1"/>
    </row>
    <row r="121" spans="1:33" ht="21">
      <c r="A121" s="15"/>
      <c r="B121" s="15" t="s">
        <v>2</v>
      </c>
      <c r="C121" s="15"/>
      <c r="D121" s="15"/>
      <c r="E121" s="18" t="s">
        <v>9</v>
      </c>
      <c r="F121" s="15" t="s">
        <v>2</v>
      </c>
      <c r="G121" s="15"/>
      <c r="H121" s="15"/>
      <c r="I121" s="15"/>
      <c r="J121" s="20" t="s">
        <v>10</v>
      </c>
      <c r="K121" s="20" t="s">
        <v>11</v>
      </c>
      <c r="L121" s="15"/>
      <c r="M121" s="15" t="s">
        <v>2</v>
      </c>
      <c r="N121" s="15"/>
      <c r="O121" s="20" t="s">
        <v>12</v>
      </c>
      <c r="P121" s="15" t="s">
        <v>2</v>
      </c>
      <c r="Q121" s="18" t="s">
        <v>13</v>
      </c>
      <c r="R121" s="15" t="s">
        <v>2</v>
      </c>
      <c r="S121" s="76"/>
      <c r="U121" s="15"/>
      <c r="V121" s="15" t="s">
        <v>2</v>
      </c>
      <c r="W121" s="15"/>
      <c r="X121" s="15"/>
      <c r="Y121" s="15"/>
      <c r="Z121" s="1"/>
      <c r="AA121" s="1"/>
      <c r="AB121" s="38"/>
      <c r="AC121" s="1"/>
      <c r="AD121" s="1"/>
      <c r="AE121" s="1"/>
      <c r="AF121" s="1"/>
      <c r="AG121" s="1"/>
    </row>
    <row r="122" spans="1:65" ht="21">
      <c r="A122" s="15"/>
      <c r="B122" s="15" t="s">
        <v>2</v>
      </c>
      <c r="C122" s="15"/>
      <c r="D122" s="18" t="s">
        <v>14</v>
      </c>
      <c r="E122" s="18" t="s">
        <v>15</v>
      </c>
      <c r="F122" s="15" t="s">
        <v>2</v>
      </c>
      <c r="G122" s="20" t="s">
        <v>215</v>
      </c>
      <c r="H122" s="20" t="s">
        <v>16</v>
      </c>
      <c r="I122" s="20" t="s">
        <v>17</v>
      </c>
      <c r="J122" s="20" t="s">
        <v>18</v>
      </c>
      <c r="K122" s="20" t="s">
        <v>19</v>
      </c>
      <c r="L122" s="20" t="s">
        <v>9</v>
      </c>
      <c r="M122" s="15" t="s">
        <v>2</v>
      </c>
      <c r="N122" s="20" t="s">
        <v>20</v>
      </c>
      <c r="O122" s="20" t="s">
        <v>21</v>
      </c>
      <c r="P122" s="15" t="s">
        <v>2</v>
      </c>
      <c r="Q122" s="20" t="s">
        <v>22</v>
      </c>
      <c r="R122" s="15" t="s">
        <v>2</v>
      </c>
      <c r="S122" s="76"/>
      <c r="T122" s="9" t="s">
        <v>23</v>
      </c>
      <c r="U122" s="15"/>
      <c r="V122" s="15" t="s">
        <v>2</v>
      </c>
      <c r="W122" s="15"/>
      <c r="X122" s="15"/>
      <c r="Y122" s="15"/>
      <c r="Z122" s="1"/>
      <c r="AA122" s="1"/>
      <c r="AB122" s="38"/>
      <c r="AC122" s="1"/>
      <c r="AD122" s="1"/>
      <c r="AE122" s="1"/>
      <c r="AF122" s="1"/>
      <c r="AG122" s="1"/>
      <c r="AR122" s="32"/>
      <c r="BH122" s="32"/>
      <c r="BI122" s="33"/>
      <c r="BJ122" s="33"/>
      <c r="BK122" s="33"/>
      <c r="BL122" s="33"/>
      <c r="BM122" s="33"/>
    </row>
    <row r="123" spans="1:65" ht="22.5">
      <c r="A123" s="15"/>
      <c r="B123" s="15" t="s">
        <v>2</v>
      </c>
      <c r="C123" s="18" t="s">
        <v>15</v>
      </c>
      <c r="D123" s="18" t="s">
        <v>25</v>
      </c>
      <c r="E123" s="18" t="s">
        <v>14</v>
      </c>
      <c r="F123" s="15" t="s">
        <v>2</v>
      </c>
      <c r="G123" s="20" t="s">
        <v>216</v>
      </c>
      <c r="H123" s="20" t="s">
        <v>26</v>
      </c>
      <c r="I123" s="20" t="s">
        <v>16</v>
      </c>
      <c r="J123" s="20" t="s">
        <v>27</v>
      </c>
      <c r="K123" s="20" t="s">
        <v>28</v>
      </c>
      <c r="L123" s="20" t="s">
        <v>29</v>
      </c>
      <c r="M123" s="15" t="s">
        <v>2</v>
      </c>
      <c r="N123" s="20" t="s">
        <v>15</v>
      </c>
      <c r="O123" s="20" t="s">
        <v>30</v>
      </c>
      <c r="P123" s="15" t="s">
        <v>2</v>
      </c>
      <c r="Q123" s="20" t="s">
        <v>12</v>
      </c>
      <c r="R123" s="15" t="s">
        <v>2</v>
      </c>
      <c r="T123" s="18" t="str">
        <f>+T83</f>
        <v>Extra</v>
      </c>
      <c r="U123" s="20" t="s">
        <v>31</v>
      </c>
      <c r="V123" s="15" t="s">
        <v>2</v>
      </c>
      <c r="W123" s="15"/>
      <c r="X123" s="15"/>
      <c r="Y123" s="15"/>
      <c r="Z123" s="1"/>
      <c r="AA123" s="1"/>
      <c r="AB123" s="38"/>
      <c r="AC123" s="1"/>
      <c r="AD123" s="1"/>
      <c r="AE123" s="1"/>
      <c r="AF123" s="1"/>
      <c r="AG123" s="1"/>
      <c r="AK123" s="60" t="s">
        <v>513</v>
      </c>
      <c r="AR123" s="32"/>
      <c r="AS123" s="60" t="s">
        <v>505</v>
      </c>
      <c r="BH123" s="32"/>
      <c r="BI123" s="33"/>
      <c r="BJ123" s="33"/>
      <c r="BK123" s="33"/>
      <c r="BL123" s="33"/>
      <c r="BM123" s="33"/>
    </row>
    <row r="124" spans="1:65" ht="21">
      <c r="A124" s="15"/>
      <c r="B124" s="15" t="s">
        <v>2</v>
      </c>
      <c r="C124" s="18" t="s">
        <v>14</v>
      </c>
      <c r="D124" s="18" t="s">
        <v>33</v>
      </c>
      <c r="E124" s="18" t="s">
        <v>34</v>
      </c>
      <c r="F124" s="15" t="s">
        <v>2</v>
      </c>
      <c r="G124" s="20" t="s">
        <v>35</v>
      </c>
      <c r="H124" s="20" t="s">
        <v>36</v>
      </c>
      <c r="I124" s="20" t="s">
        <v>37</v>
      </c>
      <c r="J124" s="20" t="s">
        <v>38</v>
      </c>
      <c r="K124" s="20" t="s">
        <v>39</v>
      </c>
      <c r="L124" s="20" t="s">
        <v>40</v>
      </c>
      <c r="M124" s="15" t="s">
        <v>2</v>
      </c>
      <c r="N124" s="20" t="s">
        <v>14</v>
      </c>
      <c r="O124" s="20" t="s">
        <v>41</v>
      </c>
      <c r="P124" s="15" t="s">
        <v>2</v>
      </c>
      <c r="Q124" s="22">
        <f>Q10</f>
        <v>0.25577674211452567</v>
      </c>
      <c r="R124" s="15" t="s">
        <v>2</v>
      </c>
      <c r="S124" s="77" t="str">
        <f>+S84</f>
        <v>Apportionment</v>
      </c>
      <c r="T124" s="18" t="str">
        <f>+T84</f>
        <v>Mile</v>
      </c>
      <c r="U124" s="20" t="s">
        <v>42</v>
      </c>
      <c r="V124" s="15" t="s">
        <v>2</v>
      </c>
      <c r="W124" s="23"/>
      <c r="X124" s="23"/>
      <c r="Y124" s="23"/>
      <c r="Z124" s="1"/>
      <c r="AA124" s="1"/>
      <c r="AB124" s="38"/>
      <c r="AC124" s="1"/>
      <c r="AD124" s="1"/>
      <c r="AE124" s="1"/>
      <c r="AF124" s="1"/>
      <c r="AG124" s="1"/>
      <c r="AR124" s="32"/>
      <c r="BH124" s="32"/>
      <c r="BI124" s="33"/>
      <c r="BJ124" s="33"/>
      <c r="BK124" s="33"/>
      <c r="BL124" s="33"/>
      <c r="BM124" s="33"/>
    </row>
    <row r="125" spans="1:65" ht="101.25" thickBot="1">
      <c r="A125" s="19" t="s">
        <v>3</v>
      </c>
      <c r="B125" s="15"/>
      <c r="C125" s="19" t="s">
        <v>3</v>
      </c>
      <c r="D125" s="19" t="s">
        <v>3</v>
      </c>
      <c r="E125" s="19" t="s">
        <v>3</v>
      </c>
      <c r="F125" s="15"/>
      <c r="G125" s="19" t="s">
        <v>3</v>
      </c>
      <c r="H125" s="19" t="s">
        <v>3</v>
      </c>
      <c r="I125" s="19" t="s">
        <v>3</v>
      </c>
      <c r="J125" s="19" t="s">
        <v>3</v>
      </c>
      <c r="K125" s="19" t="s">
        <v>3</v>
      </c>
      <c r="L125" s="19" t="s">
        <v>3</v>
      </c>
      <c r="M125" s="15"/>
      <c r="N125" s="19" t="s">
        <v>3</v>
      </c>
      <c r="O125" s="19" t="s">
        <v>3</v>
      </c>
      <c r="P125" s="15"/>
      <c r="Q125" s="19" t="s">
        <v>3</v>
      </c>
      <c r="R125" s="15"/>
      <c r="S125" s="78" t="s">
        <v>3</v>
      </c>
      <c r="T125" s="19" t="s">
        <v>3</v>
      </c>
      <c r="U125" s="19" t="s">
        <v>3</v>
      </c>
      <c r="V125" s="15"/>
      <c r="W125" s="15"/>
      <c r="X125" s="69" t="s">
        <v>577</v>
      </c>
      <c r="Y125" s="69" t="s">
        <v>508</v>
      </c>
      <c r="Z125" s="24">
        <v>2020</v>
      </c>
      <c r="AA125" s="24">
        <v>2019</v>
      </c>
      <c r="AB125" s="24">
        <v>2018</v>
      </c>
      <c r="AC125" s="25" t="s">
        <v>394</v>
      </c>
      <c r="AD125" s="26"/>
      <c r="AE125" s="1"/>
      <c r="AF125" s="1"/>
      <c r="AG125" s="1"/>
      <c r="AK125" s="27" t="s">
        <v>379</v>
      </c>
      <c r="AL125" s="27" t="s">
        <v>380</v>
      </c>
      <c r="AM125" s="27" t="s">
        <v>381</v>
      </c>
      <c r="AN125" s="27" t="s">
        <v>382</v>
      </c>
      <c r="AO125" s="27" t="s">
        <v>383</v>
      </c>
      <c r="AS125" s="27" t="s">
        <v>379</v>
      </c>
      <c r="AT125" s="27" t="s">
        <v>380</v>
      </c>
      <c r="AU125" s="27" t="s">
        <v>381</v>
      </c>
      <c r="AV125" s="27" t="s">
        <v>382</v>
      </c>
      <c r="AW125" s="27" t="s">
        <v>383</v>
      </c>
      <c r="BI125" s="27" t="s">
        <v>379</v>
      </c>
      <c r="BJ125" s="27" t="s">
        <v>380</v>
      </c>
      <c r="BK125" s="27" t="s">
        <v>381</v>
      </c>
      <c r="BL125" s="27" t="s">
        <v>382</v>
      </c>
      <c r="BM125" s="27" t="s">
        <v>383</v>
      </c>
    </row>
    <row r="126" spans="1:65" ht="21">
      <c r="A126" s="15" t="s">
        <v>94</v>
      </c>
      <c r="B126" s="28"/>
      <c r="C126" s="29">
        <f aca="true" t="shared" si="42" ref="C126:C145">AK126</f>
        <v>39991</v>
      </c>
      <c r="D126" s="21">
        <f aca="true" t="shared" si="43" ref="D126:D145">AL126</f>
        <v>1656</v>
      </c>
      <c r="E126" s="15">
        <f>D126+C126</f>
        <v>41647</v>
      </c>
      <c r="F126" s="15"/>
      <c r="G126" s="15">
        <f aca="true" t="shared" si="44" ref="G126:G145">AM126</f>
        <v>0</v>
      </c>
      <c r="H126" s="21">
        <f aca="true" t="shared" si="45" ref="H126:H145">AN126</f>
        <v>0</v>
      </c>
      <c r="I126" s="15">
        <f aca="true" t="shared" si="46" ref="I126:I145">H126*0.5</f>
        <v>0</v>
      </c>
      <c r="J126" s="21">
        <f aca="true" t="shared" si="47" ref="J126:J145">AO126</f>
        <v>0</v>
      </c>
      <c r="K126" s="15">
        <f aca="true" t="shared" si="48" ref="K126:K145">J126*0.25</f>
        <v>0</v>
      </c>
      <c r="L126" s="15">
        <f aca="true" t="shared" si="49" ref="L126:L145">+G126+I126+K126</f>
        <v>0</v>
      </c>
      <c r="M126" s="15"/>
      <c r="N126" s="15">
        <f aca="true" t="shared" si="50" ref="N126:N145">E126-L126</f>
        <v>41647</v>
      </c>
      <c r="O126" s="15">
        <f aca="true" t="shared" si="51" ref="O126:O143">IF(N126&gt;=4000,(N126-4000)*0.9+2200,IF(N126&gt;=3000,(N126-3000)*0.8+1400,IF(N126&gt;=2000,(N126-2000)*0.6+800,IF(N126&gt;0,N126*0.4,0))))</f>
        <v>36082.3</v>
      </c>
      <c r="P126" s="15"/>
      <c r="Q126" s="30" t="s">
        <v>44</v>
      </c>
      <c r="R126" s="15"/>
      <c r="S126" s="76">
        <f aca="true" t="shared" si="52" ref="S126:S143">ROUND(SUM(O126*$Q$10),0)</f>
        <v>9229</v>
      </c>
      <c r="T126" s="15">
        <f aca="true" t="shared" si="53" ref="T126:T143">ROUND(SUM(S126*0.1),0)</f>
        <v>923</v>
      </c>
      <c r="U126" s="15">
        <f aca="true" t="shared" si="54" ref="U126:U143">SUM(S126:T126)</f>
        <v>10152</v>
      </c>
      <c r="V126" s="15"/>
      <c r="W126" s="15" t="s">
        <v>94</v>
      </c>
      <c r="X126" s="15">
        <f>S126</f>
        <v>9229</v>
      </c>
      <c r="Y126" s="15">
        <v>22507</v>
      </c>
      <c r="Z126" s="15">
        <v>20274</v>
      </c>
      <c r="AA126" s="15">
        <v>19490</v>
      </c>
      <c r="AB126" s="31">
        <v>19976</v>
      </c>
      <c r="AC126" s="15">
        <f>Z126-AA126</f>
        <v>784</v>
      </c>
      <c r="AD126" s="1"/>
      <c r="AE126" s="1">
        <v>1</v>
      </c>
      <c r="AF126" s="1" t="s">
        <v>94</v>
      </c>
      <c r="AG126" s="1">
        <v>19490</v>
      </c>
      <c r="AJ126" s="94" t="s">
        <v>300</v>
      </c>
      <c r="AK126" s="94">
        <v>39991</v>
      </c>
      <c r="AL126" s="81">
        <v>1656</v>
      </c>
      <c r="AM126" s="81">
        <v>0</v>
      </c>
      <c r="AN126" s="81">
        <v>0</v>
      </c>
      <c r="AO126" s="81">
        <v>0</v>
      </c>
      <c r="AR126" s="32" t="s">
        <v>300</v>
      </c>
      <c r="AS126" s="57">
        <v>107014.34</v>
      </c>
      <c r="AT126" s="57">
        <v>3243</v>
      </c>
      <c r="AU126" s="57">
        <v>0</v>
      </c>
      <c r="AV126" s="57">
        <v>0</v>
      </c>
      <c r="AW126" s="57">
        <v>15350</v>
      </c>
      <c r="AZ126" s="32" t="s">
        <v>300</v>
      </c>
      <c r="BA126" s="57">
        <v>107014.34</v>
      </c>
      <c r="BB126" s="57">
        <v>3243</v>
      </c>
      <c r="BC126" s="57">
        <v>0</v>
      </c>
      <c r="BD126" s="57">
        <v>0</v>
      </c>
      <c r="BE126" s="57">
        <v>15350</v>
      </c>
      <c r="BF126" s="43"/>
      <c r="BG126" s="43"/>
      <c r="BH126" s="32" t="s">
        <v>300</v>
      </c>
      <c r="BI126" s="33">
        <v>91981</v>
      </c>
      <c r="BJ126" s="33">
        <v>0</v>
      </c>
      <c r="BK126" s="33">
        <v>0</v>
      </c>
      <c r="BL126" s="33">
        <v>0</v>
      </c>
      <c r="BM126" s="33">
        <v>0</v>
      </c>
    </row>
    <row r="127" spans="1:65" ht="21">
      <c r="A127" s="15" t="s">
        <v>95</v>
      </c>
      <c r="B127" s="28"/>
      <c r="C127" s="29">
        <f t="shared" si="42"/>
        <v>53112</v>
      </c>
      <c r="D127" s="21">
        <f t="shared" si="43"/>
        <v>0</v>
      </c>
      <c r="E127" s="15">
        <f aca="true" t="shared" si="55" ref="E127:E145">D127+C127</f>
        <v>53112</v>
      </c>
      <c r="F127" s="15"/>
      <c r="G127" s="15">
        <f t="shared" si="44"/>
        <v>0</v>
      </c>
      <c r="H127" s="21">
        <f t="shared" si="45"/>
        <v>0</v>
      </c>
      <c r="I127" s="15">
        <f t="shared" si="46"/>
        <v>0</v>
      </c>
      <c r="J127" s="21">
        <f t="shared" si="47"/>
        <v>0</v>
      </c>
      <c r="K127" s="15">
        <f t="shared" si="48"/>
        <v>0</v>
      </c>
      <c r="L127" s="15">
        <f t="shared" si="49"/>
        <v>0</v>
      </c>
      <c r="M127" s="15"/>
      <c r="N127" s="15">
        <f t="shared" si="50"/>
        <v>53112</v>
      </c>
      <c r="O127" s="15">
        <f t="shared" si="51"/>
        <v>46400.8</v>
      </c>
      <c r="P127" s="15"/>
      <c r="Q127" s="30" t="s">
        <v>44</v>
      </c>
      <c r="R127" s="15"/>
      <c r="S127" s="76">
        <f t="shared" si="52"/>
        <v>11868</v>
      </c>
      <c r="T127" s="15">
        <f>ROUND(SUM(S127*0.1),0)</f>
        <v>1187</v>
      </c>
      <c r="U127" s="15">
        <f t="shared" si="54"/>
        <v>13055</v>
      </c>
      <c r="V127" s="15"/>
      <c r="W127" s="15" t="s">
        <v>95</v>
      </c>
      <c r="X127" s="15">
        <f aca="true" t="shared" si="56" ref="X127:X145">S127</f>
        <v>11868</v>
      </c>
      <c r="Y127" s="15">
        <v>11354</v>
      </c>
      <c r="Z127" s="15">
        <v>12556</v>
      </c>
      <c r="AA127" s="15">
        <v>12602</v>
      </c>
      <c r="AB127" s="31">
        <v>13315</v>
      </c>
      <c r="AC127" s="15">
        <f aca="true" t="shared" si="57" ref="AC127:AC147">Z127-AA127</f>
        <v>-46</v>
      </c>
      <c r="AD127" s="1"/>
      <c r="AE127" s="1">
        <v>1</v>
      </c>
      <c r="AF127" s="1" t="s">
        <v>95</v>
      </c>
      <c r="AG127" s="1">
        <v>12602</v>
      </c>
      <c r="AJ127" s="81" t="s">
        <v>532</v>
      </c>
      <c r="AK127" s="81">
        <v>53112</v>
      </c>
      <c r="AL127" s="81">
        <v>0</v>
      </c>
      <c r="AM127" s="81">
        <v>0</v>
      </c>
      <c r="AN127" s="81">
        <v>0</v>
      </c>
      <c r="AO127" s="81">
        <v>0</v>
      </c>
      <c r="AR127" s="32" t="s">
        <v>297</v>
      </c>
      <c r="AS127" s="57">
        <v>53893.71</v>
      </c>
      <c r="AT127" s="57">
        <v>564.9</v>
      </c>
      <c r="AU127" s="57"/>
      <c r="AV127" s="57">
        <v>0</v>
      </c>
      <c r="AW127" s="57"/>
      <c r="AZ127" s="32" t="s">
        <v>297</v>
      </c>
      <c r="BA127" s="57">
        <v>53893.71</v>
      </c>
      <c r="BB127" s="57">
        <v>564.9</v>
      </c>
      <c r="BC127" s="57"/>
      <c r="BD127" s="57">
        <v>0</v>
      </c>
      <c r="BE127" s="57"/>
      <c r="BF127" s="43"/>
      <c r="BG127" s="43"/>
      <c r="BH127" s="32" t="s">
        <v>297</v>
      </c>
      <c r="BI127" s="33">
        <v>57555</v>
      </c>
      <c r="BJ127" s="33">
        <v>0</v>
      </c>
      <c r="BK127" s="33">
        <v>0</v>
      </c>
      <c r="BL127" s="33">
        <v>0</v>
      </c>
      <c r="BM127" s="33">
        <v>0</v>
      </c>
    </row>
    <row r="128" spans="1:65" ht="21">
      <c r="A128" s="15" t="s">
        <v>194</v>
      </c>
      <c r="B128" s="28"/>
      <c r="C128" s="29">
        <f t="shared" si="42"/>
        <v>66431</v>
      </c>
      <c r="D128" s="21">
        <f t="shared" si="43"/>
        <v>0</v>
      </c>
      <c r="E128" s="15">
        <f t="shared" si="55"/>
        <v>66431</v>
      </c>
      <c r="F128" s="15"/>
      <c r="G128" s="15">
        <f t="shared" si="44"/>
        <v>0</v>
      </c>
      <c r="H128" s="21">
        <f t="shared" si="45"/>
        <v>0</v>
      </c>
      <c r="I128" s="15">
        <f t="shared" si="46"/>
        <v>0</v>
      </c>
      <c r="J128" s="21">
        <f t="shared" si="47"/>
        <v>0</v>
      </c>
      <c r="K128" s="15">
        <f t="shared" si="48"/>
        <v>0</v>
      </c>
      <c r="L128" s="15">
        <f t="shared" si="49"/>
        <v>0</v>
      </c>
      <c r="M128" s="15"/>
      <c r="N128" s="15">
        <f t="shared" si="50"/>
        <v>66431</v>
      </c>
      <c r="O128" s="15">
        <f>IF(N128&gt;=4000,(N128-4000)*0.9+2200,IF(N128&gt;=3000,(N128-3000)*0.8+1400,IF(N128&gt;=2000,(N128-2000)*0.6+800,IF(N128&gt;0,N128*0.4,0))))</f>
        <v>58387.9</v>
      </c>
      <c r="P128" s="15"/>
      <c r="Q128" s="30" t="s">
        <v>44</v>
      </c>
      <c r="R128" s="15"/>
      <c r="S128" s="76">
        <f>ROUND(SUM(O128*$Q$10),0)</f>
        <v>14934</v>
      </c>
      <c r="T128" s="15">
        <f>ROUND(SUM(S128*0.1),0)</f>
        <v>1493</v>
      </c>
      <c r="U128" s="15">
        <f>SUM(S128:T128)</f>
        <v>16427</v>
      </c>
      <c r="V128" s="15"/>
      <c r="W128" s="15" t="s">
        <v>194</v>
      </c>
      <c r="X128" s="15">
        <f t="shared" si="56"/>
        <v>14934</v>
      </c>
      <c r="Y128" s="15">
        <v>13429</v>
      </c>
      <c r="Z128" s="15">
        <v>15070</v>
      </c>
      <c r="AA128" s="15">
        <v>12936</v>
      </c>
      <c r="AB128" s="31">
        <v>12714</v>
      </c>
      <c r="AC128" s="15">
        <f t="shared" si="57"/>
        <v>2134</v>
      </c>
      <c r="AD128" s="1"/>
      <c r="AE128" s="1">
        <v>1</v>
      </c>
      <c r="AF128" s="1" t="s">
        <v>194</v>
      </c>
      <c r="AG128" s="1">
        <v>12936</v>
      </c>
      <c r="AJ128" s="81" t="s">
        <v>525</v>
      </c>
      <c r="AK128" s="81">
        <v>66431</v>
      </c>
      <c r="AL128" s="81">
        <v>0</v>
      </c>
      <c r="AM128" s="81">
        <v>0</v>
      </c>
      <c r="AN128" s="81">
        <v>0</v>
      </c>
      <c r="AO128" s="81">
        <v>0</v>
      </c>
      <c r="AR128" s="32" t="s">
        <v>296</v>
      </c>
      <c r="AS128" s="57">
        <v>63655.77</v>
      </c>
      <c r="AT128" s="57">
        <v>467.1</v>
      </c>
      <c r="AU128" s="57">
        <v>0</v>
      </c>
      <c r="AV128" s="57">
        <v>0</v>
      </c>
      <c r="AW128" s="57">
        <v>0</v>
      </c>
      <c r="AZ128" s="32" t="s">
        <v>429</v>
      </c>
      <c r="BA128" s="57">
        <v>63655.77</v>
      </c>
      <c r="BB128" s="57">
        <v>467.1</v>
      </c>
      <c r="BC128" s="57">
        <v>0</v>
      </c>
      <c r="BD128" s="57">
        <v>0</v>
      </c>
      <c r="BE128" s="57">
        <v>0</v>
      </c>
      <c r="BF128" s="43"/>
      <c r="BG128" s="43"/>
      <c r="BH128" s="32" t="s">
        <v>296</v>
      </c>
      <c r="BI128" s="33">
        <v>67072</v>
      </c>
      <c r="BJ128" s="33">
        <v>1698</v>
      </c>
      <c r="BK128" s="33">
        <v>0</v>
      </c>
      <c r="BL128" s="33">
        <v>0</v>
      </c>
      <c r="BM128" s="33">
        <v>0</v>
      </c>
    </row>
    <row r="129" spans="1:65" ht="21">
      <c r="A129" s="15" t="s">
        <v>96</v>
      </c>
      <c r="B129" s="28"/>
      <c r="C129" s="29">
        <f t="shared" si="42"/>
        <v>59491</v>
      </c>
      <c r="D129" s="21">
        <f t="shared" si="43"/>
        <v>0</v>
      </c>
      <c r="E129" s="15">
        <f t="shared" si="55"/>
        <v>59491</v>
      </c>
      <c r="F129" s="15"/>
      <c r="G129" s="15">
        <f t="shared" si="44"/>
        <v>0</v>
      </c>
      <c r="H129" s="21">
        <f t="shared" si="45"/>
        <v>17163</v>
      </c>
      <c r="I129" s="15">
        <f t="shared" si="46"/>
        <v>8581.5</v>
      </c>
      <c r="J129" s="21">
        <f t="shared" si="47"/>
        <v>0</v>
      </c>
      <c r="K129" s="15">
        <f t="shared" si="48"/>
        <v>0</v>
      </c>
      <c r="L129" s="15">
        <f t="shared" si="49"/>
        <v>8581.5</v>
      </c>
      <c r="M129" s="15"/>
      <c r="N129" s="15">
        <f t="shared" si="50"/>
        <v>50909.5</v>
      </c>
      <c r="O129" s="15">
        <f t="shared" si="51"/>
        <v>44418.55</v>
      </c>
      <c r="P129" s="15"/>
      <c r="Q129" s="30" t="s">
        <v>44</v>
      </c>
      <c r="R129" s="15"/>
      <c r="S129" s="76">
        <f t="shared" si="52"/>
        <v>11361</v>
      </c>
      <c r="T129" s="15">
        <f t="shared" si="53"/>
        <v>1136</v>
      </c>
      <c r="U129" s="15">
        <f t="shared" si="54"/>
        <v>12497</v>
      </c>
      <c r="V129" s="15"/>
      <c r="W129" s="15" t="s">
        <v>96</v>
      </c>
      <c r="X129" s="15">
        <f t="shared" si="56"/>
        <v>11361</v>
      </c>
      <c r="Y129" s="15">
        <v>13220</v>
      </c>
      <c r="Z129" s="15">
        <v>11331</v>
      </c>
      <c r="AA129" s="15">
        <v>11390</v>
      </c>
      <c r="AB129" s="31">
        <v>10873</v>
      </c>
      <c r="AC129" s="15">
        <f t="shared" si="57"/>
        <v>-59</v>
      </c>
      <c r="AD129" s="1"/>
      <c r="AE129" s="1">
        <v>1</v>
      </c>
      <c r="AF129" s="1" t="s">
        <v>96</v>
      </c>
      <c r="AG129" s="1">
        <v>11390</v>
      </c>
      <c r="AJ129" s="81" t="s">
        <v>425</v>
      </c>
      <c r="AK129" s="81">
        <v>59491</v>
      </c>
      <c r="AL129" s="81">
        <v>0</v>
      </c>
      <c r="AM129" s="81">
        <v>0</v>
      </c>
      <c r="AN129" s="81">
        <v>17163</v>
      </c>
      <c r="AO129" s="81">
        <v>0</v>
      </c>
      <c r="AR129" s="32" t="s">
        <v>285</v>
      </c>
      <c r="AS129" s="57">
        <v>63073</v>
      </c>
      <c r="AT129" s="57">
        <v>8504</v>
      </c>
      <c r="AU129" s="57">
        <v>0</v>
      </c>
      <c r="AV129" s="57">
        <v>16848</v>
      </c>
      <c r="AW129" s="57">
        <v>0</v>
      </c>
      <c r="AZ129" s="32" t="s">
        <v>425</v>
      </c>
      <c r="BA129" s="57">
        <v>63073</v>
      </c>
      <c r="BB129" s="57">
        <v>8504</v>
      </c>
      <c r="BC129" s="57">
        <v>0</v>
      </c>
      <c r="BD129" s="57">
        <v>16848</v>
      </c>
      <c r="BE129" s="57">
        <v>0</v>
      </c>
      <c r="BF129" s="43"/>
      <c r="BG129" s="43"/>
      <c r="BH129" s="32" t="s">
        <v>285</v>
      </c>
      <c r="BI129" s="33">
        <v>59823.19</v>
      </c>
      <c r="BJ129" s="33">
        <v>0</v>
      </c>
      <c r="BK129" s="33">
        <v>0</v>
      </c>
      <c r="BL129" s="33">
        <v>15456.76</v>
      </c>
      <c r="BM129" s="33">
        <v>0</v>
      </c>
    </row>
    <row r="130" spans="1:65" ht="21">
      <c r="A130" s="15" t="s">
        <v>221</v>
      </c>
      <c r="B130" s="28"/>
      <c r="C130" s="29">
        <f t="shared" si="42"/>
        <v>52663</v>
      </c>
      <c r="D130" s="21">
        <f t="shared" si="43"/>
        <v>0</v>
      </c>
      <c r="E130" s="15">
        <f t="shared" si="55"/>
        <v>52663</v>
      </c>
      <c r="F130" s="15"/>
      <c r="G130" s="15">
        <f t="shared" si="44"/>
        <v>0</v>
      </c>
      <c r="H130" s="21">
        <f t="shared" si="45"/>
        <v>17163</v>
      </c>
      <c r="I130" s="15">
        <f t="shared" si="46"/>
        <v>8581.5</v>
      </c>
      <c r="J130" s="21">
        <f t="shared" si="47"/>
        <v>0</v>
      </c>
      <c r="K130" s="15">
        <f t="shared" si="48"/>
        <v>0</v>
      </c>
      <c r="L130" s="15">
        <f t="shared" si="49"/>
        <v>8581.5</v>
      </c>
      <c r="M130" s="15"/>
      <c r="N130" s="15">
        <f t="shared" si="50"/>
        <v>44081.5</v>
      </c>
      <c r="O130" s="15">
        <f t="shared" si="51"/>
        <v>38273.35</v>
      </c>
      <c r="P130" s="15"/>
      <c r="Q130" s="30" t="s">
        <v>44</v>
      </c>
      <c r="R130" s="15"/>
      <c r="S130" s="76">
        <f t="shared" si="52"/>
        <v>9789</v>
      </c>
      <c r="T130" s="15">
        <f t="shared" si="53"/>
        <v>979</v>
      </c>
      <c r="U130" s="15">
        <f t="shared" si="54"/>
        <v>10768</v>
      </c>
      <c r="V130" s="15"/>
      <c r="W130" s="15" t="s">
        <v>221</v>
      </c>
      <c r="X130" s="15">
        <f t="shared" si="56"/>
        <v>9789</v>
      </c>
      <c r="Y130" s="15">
        <v>11603</v>
      </c>
      <c r="Z130" s="15">
        <v>12170</v>
      </c>
      <c r="AA130" s="15">
        <v>11698</v>
      </c>
      <c r="AB130" s="31">
        <v>11041</v>
      </c>
      <c r="AC130" s="15">
        <f t="shared" si="57"/>
        <v>472</v>
      </c>
      <c r="AD130" s="1"/>
      <c r="AE130" s="1">
        <v>1</v>
      </c>
      <c r="AF130" s="1" t="s">
        <v>221</v>
      </c>
      <c r="AG130" s="1">
        <v>11698</v>
      </c>
      <c r="AJ130" s="81" t="s">
        <v>284</v>
      </c>
      <c r="AK130" s="81">
        <v>52663</v>
      </c>
      <c r="AL130" s="81">
        <v>0</v>
      </c>
      <c r="AM130" s="81">
        <v>0</v>
      </c>
      <c r="AN130" s="81">
        <v>17163</v>
      </c>
      <c r="AO130" s="81">
        <v>0</v>
      </c>
      <c r="AR130" s="32" t="s">
        <v>284</v>
      </c>
      <c r="AS130" s="57">
        <v>64040</v>
      </c>
      <c r="AT130" s="57">
        <v>0</v>
      </c>
      <c r="AU130" s="57">
        <v>0</v>
      </c>
      <c r="AV130" s="57">
        <v>16848</v>
      </c>
      <c r="AW130" s="57">
        <v>0</v>
      </c>
      <c r="AZ130" s="32" t="s">
        <v>284</v>
      </c>
      <c r="BA130" s="57">
        <v>64040</v>
      </c>
      <c r="BB130" s="57">
        <v>0</v>
      </c>
      <c r="BC130" s="57">
        <v>0</v>
      </c>
      <c r="BD130" s="57">
        <v>16848</v>
      </c>
      <c r="BE130" s="57">
        <v>0</v>
      </c>
      <c r="BF130" s="43"/>
      <c r="BG130" s="43"/>
      <c r="BH130" s="32" t="s">
        <v>284</v>
      </c>
      <c r="BI130" s="33">
        <v>63562</v>
      </c>
      <c r="BJ130" s="33">
        <v>0</v>
      </c>
      <c r="BK130" s="33">
        <v>0</v>
      </c>
      <c r="BL130" s="33">
        <v>15457</v>
      </c>
      <c r="BM130" s="33">
        <v>0</v>
      </c>
    </row>
    <row r="131" spans="1:65" ht="21">
      <c r="A131" s="15" t="s">
        <v>97</v>
      </c>
      <c r="B131" s="28"/>
      <c r="C131" s="29">
        <f t="shared" si="42"/>
        <v>148307.14</v>
      </c>
      <c r="D131" s="21">
        <f t="shared" si="43"/>
        <v>0</v>
      </c>
      <c r="E131" s="15">
        <f t="shared" si="55"/>
        <v>148307.14</v>
      </c>
      <c r="F131" s="15"/>
      <c r="G131" s="15">
        <f t="shared" si="44"/>
        <v>0</v>
      </c>
      <c r="H131" s="21">
        <f t="shared" si="45"/>
        <v>21467.34</v>
      </c>
      <c r="I131" s="15">
        <f t="shared" si="46"/>
        <v>10733.67</v>
      </c>
      <c r="J131" s="21">
        <f t="shared" si="47"/>
        <v>0</v>
      </c>
      <c r="K131" s="15">
        <f t="shared" si="48"/>
        <v>0</v>
      </c>
      <c r="L131" s="15">
        <f t="shared" si="49"/>
        <v>10733.67</v>
      </c>
      <c r="M131" s="15"/>
      <c r="N131" s="15">
        <f t="shared" si="50"/>
        <v>137573.47</v>
      </c>
      <c r="O131" s="15">
        <f t="shared" si="51"/>
        <v>122416.123</v>
      </c>
      <c r="P131" s="15"/>
      <c r="Q131" s="30" t="s">
        <v>44</v>
      </c>
      <c r="R131" s="15"/>
      <c r="S131" s="76">
        <f t="shared" si="52"/>
        <v>31311</v>
      </c>
      <c r="T131" s="15">
        <f t="shared" si="53"/>
        <v>3131</v>
      </c>
      <c r="U131" s="15">
        <f t="shared" si="54"/>
        <v>34442</v>
      </c>
      <c r="V131" s="15"/>
      <c r="W131" s="15" t="s">
        <v>97</v>
      </c>
      <c r="X131" s="15">
        <f t="shared" si="56"/>
        <v>31311</v>
      </c>
      <c r="Y131" s="15">
        <v>29168</v>
      </c>
      <c r="Z131" s="15">
        <v>30223</v>
      </c>
      <c r="AA131" s="15">
        <v>29711</v>
      </c>
      <c r="AB131" s="31">
        <v>27696</v>
      </c>
      <c r="AC131" s="15">
        <f t="shared" si="57"/>
        <v>512</v>
      </c>
      <c r="AD131" s="1"/>
      <c r="AE131" s="1">
        <v>1</v>
      </c>
      <c r="AF131" s="1" t="s">
        <v>97</v>
      </c>
      <c r="AG131" s="1">
        <v>29711</v>
      </c>
      <c r="AJ131" s="81" t="s">
        <v>286</v>
      </c>
      <c r="AK131" s="85">
        <v>148307.14</v>
      </c>
      <c r="AL131" s="81">
        <v>0</v>
      </c>
      <c r="AM131" s="81">
        <v>0</v>
      </c>
      <c r="AN131" s="85">
        <v>21467.34</v>
      </c>
      <c r="AO131" s="81">
        <v>0</v>
      </c>
      <c r="AR131" s="32" t="s">
        <v>286</v>
      </c>
      <c r="AS131" s="57">
        <v>147858</v>
      </c>
      <c r="AT131" s="57">
        <v>0</v>
      </c>
      <c r="AU131" s="57">
        <v>0</v>
      </c>
      <c r="AV131" s="57">
        <v>20801</v>
      </c>
      <c r="AW131" s="57">
        <v>0</v>
      </c>
      <c r="AZ131" s="32" t="s">
        <v>286</v>
      </c>
      <c r="BA131" s="57">
        <v>147858</v>
      </c>
      <c r="BB131" s="57">
        <v>0</v>
      </c>
      <c r="BC131" s="57">
        <v>0</v>
      </c>
      <c r="BD131" s="57">
        <v>20801</v>
      </c>
      <c r="BE131" s="57">
        <v>0</v>
      </c>
      <c r="BF131" s="43"/>
      <c r="BG131" s="43"/>
      <c r="BH131" s="32" t="s">
        <v>286</v>
      </c>
      <c r="BI131" s="33">
        <v>146508.05</v>
      </c>
      <c r="BJ131" s="33">
        <v>0</v>
      </c>
      <c r="BK131" s="33">
        <v>0</v>
      </c>
      <c r="BL131" s="33">
        <v>20309.99</v>
      </c>
      <c r="BM131" s="33">
        <v>0</v>
      </c>
    </row>
    <row r="132" spans="1:65" ht="21">
      <c r="A132" s="15" t="s">
        <v>98</v>
      </c>
      <c r="B132" s="28"/>
      <c r="C132" s="29">
        <f t="shared" si="42"/>
        <v>63922</v>
      </c>
      <c r="D132" s="21">
        <f t="shared" si="43"/>
        <v>0</v>
      </c>
      <c r="E132" s="15">
        <f t="shared" si="55"/>
        <v>63922</v>
      </c>
      <c r="F132" s="15"/>
      <c r="G132" s="15">
        <f t="shared" si="44"/>
        <v>0</v>
      </c>
      <c r="H132" s="21">
        <f t="shared" si="45"/>
        <v>7433</v>
      </c>
      <c r="I132" s="15">
        <f t="shared" si="46"/>
        <v>3716.5</v>
      </c>
      <c r="J132" s="21">
        <f t="shared" si="47"/>
        <v>0</v>
      </c>
      <c r="K132" s="15">
        <f t="shared" si="48"/>
        <v>0</v>
      </c>
      <c r="L132" s="15">
        <f t="shared" si="49"/>
        <v>3716.5</v>
      </c>
      <c r="M132" s="15"/>
      <c r="N132" s="15">
        <f t="shared" si="50"/>
        <v>60205.5</v>
      </c>
      <c r="O132" s="15">
        <f t="shared" si="51"/>
        <v>52784.950000000004</v>
      </c>
      <c r="P132" s="15"/>
      <c r="Q132" s="30" t="s">
        <v>44</v>
      </c>
      <c r="R132" s="15"/>
      <c r="S132" s="76">
        <f t="shared" si="52"/>
        <v>13501</v>
      </c>
      <c r="T132" s="15">
        <f t="shared" si="53"/>
        <v>1350</v>
      </c>
      <c r="U132" s="15">
        <f t="shared" si="54"/>
        <v>14851</v>
      </c>
      <c r="V132" s="15"/>
      <c r="W132" s="15" t="s">
        <v>98</v>
      </c>
      <c r="X132" s="15">
        <f t="shared" si="56"/>
        <v>13501</v>
      </c>
      <c r="Y132" s="15">
        <v>14944</v>
      </c>
      <c r="Z132" s="15">
        <v>13637</v>
      </c>
      <c r="AA132" s="15">
        <v>16110</v>
      </c>
      <c r="AB132" s="31">
        <v>15951</v>
      </c>
      <c r="AC132" s="15">
        <f t="shared" si="57"/>
        <v>-2473</v>
      </c>
      <c r="AD132" s="1"/>
      <c r="AE132" s="1">
        <v>1</v>
      </c>
      <c r="AF132" s="1" t="s">
        <v>98</v>
      </c>
      <c r="AG132" s="1">
        <v>16110</v>
      </c>
      <c r="AJ132" s="81" t="s">
        <v>527</v>
      </c>
      <c r="AK132" s="83">
        <v>63922</v>
      </c>
      <c r="AL132" s="81">
        <v>0</v>
      </c>
      <c r="AM132" s="81">
        <v>0</v>
      </c>
      <c r="AN132" s="85">
        <v>7433</v>
      </c>
      <c r="AO132" s="81">
        <v>0</v>
      </c>
      <c r="AR132" s="32" t="s">
        <v>298</v>
      </c>
      <c r="AS132" s="57">
        <v>75736</v>
      </c>
      <c r="AT132" s="57">
        <v>0</v>
      </c>
      <c r="AU132" s="57">
        <v>0</v>
      </c>
      <c r="AV132" s="57">
        <v>9102</v>
      </c>
      <c r="AW132" s="57">
        <v>0</v>
      </c>
      <c r="AZ132" s="32" t="s">
        <v>298</v>
      </c>
      <c r="BA132" s="57">
        <v>75736</v>
      </c>
      <c r="BB132" s="57">
        <v>0</v>
      </c>
      <c r="BC132" s="57">
        <v>0</v>
      </c>
      <c r="BD132" s="57">
        <v>9102</v>
      </c>
      <c r="BE132" s="57">
        <v>0</v>
      </c>
      <c r="BF132" s="43"/>
      <c r="BG132" s="43"/>
      <c r="BH132" s="32" t="s">
        <v>298</v>
      </c>
      <c r="BI132" s="33">
        <v>66931</v>
      </c>
      <c r="BJ132" s="33">
        <v>0</v>
      </c>
      <c r="BK132" s="33">
        <v>0</v>
      </c>
      <c r="BL132" s="33">
        <v>9102</v>
      </c>
      <c r="BM132" s="33">
        <v>0</v>
      </c>
    </row>
    <row r="133" spans="1:65" ht="21">
      <c r="A133" s="15" t="s">
        <v>99</v>
      </c>
      <c r="B133" s="28"/>
      <c r="C133" s="29">
        <f t="shared" si="42"/>
        <v>83580</v>
      </c>
      <c r="D133" s="21">
        <f t="shared" si="43"/>
        <v>0</v>
      </c>
      <c r="E133" s="15">
        <f t="shared" si="55"/>
        <v>83580</v>
      </c>
      <c r="F133" s="15"/>
      <c r="G133" s="15">
        <f t="shared" si="44"/>
        <v>0</v>
      </c>
      <c r="H133" s="21">
        <f t="shared" si="45"/>
        <v>17500</v>
      </c>
      <c r="I133" s="15">
        <f t="shared" si="46"/>
        <v>8750</v>
      </c>
      <c r="J133" s="21">
        <f t="shared" si="47"/>
        <v>0</v>
      </c>
      <c r="K133" s="15">
        <f t="shared" si="48"/>
        <v>0</v>
      </c>
      <c r="L133" s="15">
        <f t="shared" si="49"/>
        <v>8750</v>
      </c>
      <c r="M133" s="15"/>
      <c r="N133" s="15">
        <f t="shared" si="50"/>
        <v>74830</v>
      </c>
      <c r="O133" s="15">
        <f t="shared" si="51"/>
        <v>65947</v>
      </c>
      <c r="P133" s="15"/>
      <c r="Q133" s="30" t="s">
        <v>44</v>
      </c>
      <c r="R133" s="15"/>
      <c r="S133" s="76">
        <f t="shared" si="52"/>
        <v>16868</v>
      </c>
      <c r="T133" s="15">
        <f t="shared" si="53"/>
        <v>1687</v>
      </c>
      <c r="U133" s="15">
        <f t="shared" si="54"/>
        <v>18555</v>
      </c>
      <c r="V133" s="15"/>
      <c r="W133" s="15" t="s">
        <v>99</v>
      </c>
      <c r="X133" s="15">
        <f t="shared" si="56"/>
        <v>16868</v>
      </c>
      <c r="Y133" s="15">
        <v>28985</v>
      </c>
      <c r="Z133" s="15">
        <v>31895</v>
      </c>
      <c r="AA133" s="15">
        <v>32228</v>
      </c>
      <c r="AB133" s="31">
        <v>31517</v>
      </c>
      <c r="AC133" s="15">
        <f t="shared" si="57"/>
        <v>-333</v>
      </c>
      <c r="AD133" s="1"/>
      <c r="AE133" s="1">
        <v>1</v>
      </c>
      <c r="AF133" s="1" t="s">
        <v>99</v>
      </c>
      <c r="AG133" s="1">
        <v>32228</v>
      </c>
      <c r="AJ133" s="94" t="s">
        <v>530</v>
      </c>
      <c r="AK133" s="94">
        <v>83580</v>
      </c>
      <c r="AL133" s="81">
        <v>0</v>
      </c>
      <c r="AM133" s="81">
        <v>0</v>
      </c>
      <c r="AN133" s="81">
        <v>17500</v>
      </c>
      <c r="AO133" s="81">
        <v>0</v>
      </c>
      <c r="AR133" s="32" t="s">
        <v>294</v>
      </c>
      <c r="AS133" s="57">
        <v>144532</v>
      </c>
      <c r="AT133" s="57">
        <v>0</v>
      </c>
      <c r="AU133" s="57">
        <v>0</v>
      </c>
      <c r="AV133" s="57">
        <v>15854</v>
      </c>
      <c r="AW133" s="57">
        <v>0</v>
      </c>
      <c r="AZ133" s="32" t="s">
        <v>426</v>
      </c>
      <c r="BA133" s="57">
        <v>144532</v>
      </c>
      <c r="BB133" s="57">
        <v>0</v>
      </c>
      <c r="BC133" s="57">
        <v>0</v>
      </c>
      <c r="BD133" s="57">
        <v>15854</v>
      </c>
      <c r="BE133" s="57">
        <v>0</v>
      </c>
      <c r="BF133" s="43"/>
      <c r="BG133" s="43"/>
      <c r="BH133" s="32" t="s">
        <v>294</v>
      </c>
      <c r="BI133" s="33">
        <v>151578</v>
      </c>
      <c r="BJ133" s="33">
        <v>0</v>
      </c>
      <c r="BK133" s="33">
        <v>0</v>
      </c>
      <c r="BL133" s="33">
        <v>15533</v>
      </c>
      <c r="BM133" s="33">
        <v>0</v>
      </c>
    </row>
    <row r="134" spans="1:65" ht="21">
      <c r="A134" s="15" t="s">
        <v>100</v>
      </c>
      <c r="B134" s="28"/>
      <c r="C134" s="29">
        <f t="shared" si="42"/>
        <v>44910</v>
      </c>
      <c r="D134" s="21">
        <f t="shared" si="43"/>
        <v>0</v>
      </c>
      <c r="E134" s="15">
        <f t="shared" si="55"/>
        <v>44910</v>
      </c>
      <c r="F134" s="15"/>
      <c r="G134" s="15">
        <f t="shared" si="44"/>
        <v>0</v>
      </c>
      <c r="H134" s="21">
        <f t="shared" si="45"/>
        <v>0</v>
      </c>
      <c r="I134" s="15">
        <f t="shared" si="46"/>
        <v>0</v>
      </c>
      <c r="J134" s="21">
        <f t="shared" si="47"/>
        <v>0</v>
      </c>
      <c r="K134" s="15">
        <f t="shared" si="48"/>
        <v>0</v>
      </c>
      <c r="L134" s="15">
        <f t="shared" si="49"/>
        <v>0</v>
      </c>
      <c r="M134" s="15"/>
      <c r="N134" s="15">
        <f t="shared" si="50"/>
        <v>44910</v>
      </c>
      <c r="O134" s="15">
        <f t="shared" si="51"/>
        <v>39019</v>
      </c>
      <c r="P134" s="15"/>
      <c r="Q134" s="30" t="s">
        <v>44</v>
      </c>
      <c r="R134" s="15"/>
      <c r="S134" s="76">
        <f t="shared" si="52"/>
        <v>9980</v>
      </c>
      <c r="T134" s="15">
        <f t="shared" si="53"/>
        <v>998</v>
      </c>
      <c r="U134" s="15">
        <f t="shared" si="54"/>
        <v>10978</v>
      </c>
      <c r="V134" s="15"/>
      <c r="W134" s="15" t="s">
        <v>100</v>
      </c>
      <c r="X134" s="15">
        <f t="shared" si="56"/>
        <v>9980</v>
      </c>
      <c r="Y134" s="15">
        <v>11004</v>
      </c>
      <c r="Z134" s="15">
        <v>10545</v>
      </c>
      <c r="AA134" s="15">
        <v>11255</v>
      </c>
      <c r="AB134" s="31">
        <v>15729</v>
      </c>
      <c r="AC134" s="15">
        <f t="shared" si="57"/>
        <v>-710</v>
      </c>
      <c r="AD134" s="1"/>
      <c r="AE134" s="1">
        <v>1</v>
      </c>
      <c r="AF134" s="1" t="s">
        <v>100</v>
      </c>
      <c r="AG134" s="1">
        <v>11255</v>
      </c>
      <c r="AJ134" s="81" t="s">
        <v>299</v>
      </c>
      <c r="AK134" s="85">
        <v>44910</v>
      </c>
      <c r="AL134" s="81">
        <v>0</v>
      </c>
      <c r="AM134" s="81">
        <v>0</v>
      </c>
      <c r="AN134" s="81">
        <v>0</v>
      </c>
      <c r="AO134" s="81">
        <v>0</v>
      </c>
      <c r="AR134" s="32" t="s">
        <v>299</v>
      </c>
      <c r="AS134" s="57">
        <v>52825</v>
      </c>
      <c r="AT134" s="57">
        <v>0</v>
      </c>
      <c r="AU134" s="57">
        <v>0</v>
      </c>
      <c r="AV134" s="57">
        <v>0</v>
      </c>
      <c r="AW134" s="57">
        <v>0</v>
      </c>
      <c r="AZ134" s="32" t="s">
        <v>299</v>
      </c>
      <c r="BA134" s="57">
        <v>52825</v>
      </c>
      <c r="BB134" s="57">
        <v>0</v>
      </c>
      <c r="BC134" s="57">
        <v>0</v>
      </c>
      <c r="BD134" s="57">
        <v>0</v>
      </c>
      <c r="BE134" s="57">
        <v>0</v>
      </c>
      <c r="BF134" s="43"/>
      <c r="BG134" s="43"/>
      <c r="BH134" s="32" t="s">
        <v>299</v>
      </c>
      <c r="BI134" s="33">
        <v>48589</v>
      </c>
      <c r="BJ134" s="33">
        <v>0</v>
      </c>
      <c r="BK134" s="33">
        <v>0</v>
      </c>
      <c r="BL134" s="33">
        <v>0</v>
      </c>
      <c r="BM134" s="33">
        <v>0</v>
      </c>
    </row>
    <row r="135" spans="1:65" ht="21.75">
      <c r="A135" s="15" t="s">
        <v>101</v>
      </c>
      <c r="B135" s="62" t="s">
        <v>105</v>
      </c>
      <c r="C135" s="29">
        <f t="shared" si="42"/>
        <v>36080</v>
      </c>
      <c r="D135" s="21">
        <f t="shared" si="43"/>
        <v>0</v>
      </c>
      <c r="E135" s="15">
        <f t="shared" si="55"/>
        <v>36080</v>
      </c>
      <c r="F135" s="15"/>
      <c r="G135" s="15">
        <f t="shared" si="44"/>
        <v>0</v>
      </c>
      <c r="H135" s="21">
        <f t="shared" si="45"/>
        <v>0</v>
      </c>
      <c r="I135" s="15">
        <f t="shared" si="46"/>
        <v>0</v>
      </c>
      <c r="J135" s="21">
        <f t="shared" si="47"/>
        <v>0</v>
      </c>
      <c r="K135" s="15">
        <f t="shared" si="48"/>
        <v>0</v>
      </c>
      <c r="L135" s="15">
        <f t="shared" si="49"/>
        <v>0</v>
      </c>
      <c r="M135" s="15"/>
      <c r="N135" s="15">
        <f t="shared" si="50"/>
        <v>36080</v>
      </c>
      <c r="O135" s="15">
        <f t="shared" si="51"/>
        <v>31072</v>
      </c>
      <c r="P135" s="15"/>
      <c r="Q135" s="30" t="s">
        <v>44</v>
      </c>
      <c r="R135" s="15"/>
      <c r="S135" s="76">
        <f t="shared" si="52"/>
        <v>7947</v>
      </c>
      <c r="T135" s="15">
        <f t="shared" si="53"/>
        <v>795</v>
      </c>
      <c r="U135" s="15">
        <f t="shared" si="54"/>
        <v>8742</v>
      </c>
      <c r="V135" s="15"/>
      <c r="W135" s="15" t="s">
        <v>101</v>
      </c>
      <c r="X135" s="15">
        <f t="shared" si="56"/>
        <v>7947</v>
      </c>
      <c r="Y135" s="15">
        <v>7410</v>
      </c>
      <c r="Z135" s="15">
        <v>7768</v>
      </c>
      <c r="AA135" s="15">
        <v>7846</v>
      </c>
      <c r="AB135" s="31">
        <v>9378</v>
      </c>
      <c r="AC135" s="15">
        <f t="shared" si="57"/>
        <v>-78</v>
      </c>
      <c r="AD135" s="1"/>
      <c r="AE135" s="1">
        <v>1</v>
      </c>
      <c r="AF135" s="1" t="s">
        <v>101</v>
      </c>
      <c r="AG135" s="1">
        <v>7846</v>
      </c>
      <c r="AJ135" s="89" t="s">
        <v>531</v>
      </c>
      <c r="AK135" s="91">
        <f>AS135</f>
        <v>36080</v>
      </c>
      <c r="AL135" s="91">
        <f>AT135</f>
        <v>0</v>
      </c>
      <c r="AM135" s="91">
        <f>AU135</f>
        <v>0</v>
      </c>
      <c r="AN135" s="91">
        <f>AV135</f>
        <v>0</v>
      </c>
      <c r="AO135" s="91">
        <f>AW135</f>
        <v>0</v>
      </c>
      <c r="AR135" s="32" t="s">
        <v>295</v>
      </c>
      <c r="AS135" s="57">
        <v>36080</v>
      </c>
      <c r="AT135" s="57">
        <v>0</v>
      </c>
      <c r="AU135" s="57">
        <v>0</v>
      </c>
      <c r="AV135" s="57">
        <v>0</v>
      </c>
      <c r="AW135" s="57">
        <v>0</v>
      </c>
      <c r="AZ135" s="32" t="s">
        <v>427</v>
      </c>
      <c r="BA135" s="57">
        <v>36080</v>
      </c>
      <c r="BB135" s="57">
        <v>0</v>
      </c>
      <c r="BC135" s="57">
        <v>0</v>
      </c>
      <c r="BD135" s="57">
        <v>0</v>
      </c>
      <c r="BE135" s="57">
        <v>0</v>
      </c>
      <c r="BF135" s="43"/>
      <c r="BG135" s="43"/>
      <c r="BH135" s="32" t="s">
        <v>295</v>
      </c>
      <c r="BI135" s="33">
        <v>36202</v>
      </c>
      <c r="BJ135" s="33">
        <v>0</v>
      </c>
      <c r="BK135" s="33">
        <v>0</v>
      </c>
      <c r="BL135" s="33">
        <v>0</v>
      </c>
      <c r="BM135" s="33">
        <v>0</v>
      </c>
    </row>
    <row r="136" spans="1:65" ht="21">
      <c r="A136" s="15" t="s">
        <v>102</v>
      </c>
      <c r="B136" s="28"/>
      <c r="C136" s="29">
        <f t="shared" si="42"/>
        <v>3837</v>
      </c>
      <c r="D136" s="21">
        <f t="shared" si="43"/>
        <v>860</v>
      </c>
      <c r="E136" s="15">
        <f t="shared" si="55"/>
        <v>4697</v>
      </c>
      <c r="F136" s="15"/>
      <c r="G136" s="15">
        <f t="shared" si="44"/>
        <v>0</v>
      </c>
      <c r="H136" s="21">
        <f t="shared" si="45"/>
        <v>0</v>
      </c>
      <c r="I136" s="15">
        <f t="shared" si="46"/>
        <v>0</v>
      </c>
      <c r="J136" s="21">
        <f t="shared" si="47"/>
        <v>0</v>
      </c>
      <c r="K136" s="15">
        <f t="shared" si="48"/>
        <v>0</v>
      </c>
      <c r="L136" s="15">
        <f t="shared" si="49"/>
        <v>0</v>
      </c>
      <c r="M136" s="15"/>
      <c r="N136" s="15">
        <f t="shared" si="50"/>
        <v>4697</v>
      </c>
      <c r="O136" s="15">
        <f t="shared" si="51"/>
        <v>2827.3</v>
      </c>
      <c r="P136" s="15"/>
      <c r="Q136" s="30" t="s">
        <v>44</v>
      </c>
      <c r="R136" s="15"/>
      <c r="S136" s="76">
        <f t="shared" si="52"/>
        <v>723</v>
      </c>
      <c r="T136" s="15">
        <f t="shared" si="53"/>
        <v>72</v>
      </c>
      <c r="U136" s="15">
        <f t="shared" si="54"/>
        <v>795</v>
      </c>
      <c r="V136" s="15"/>
      <c r="W136" s="15" t="s">
        <v>102</v>
      </c>
      <c r="X136" s="15">
        <f t="shared" si="56"/>
        <v>723</v>
      </c>
      <c r="Y136" s="15">
        <v>644</v>
      </c>
      <c r="Z136" s="15">
        <v>744</v>
      </c>
      <c r="AA136" s="15">
        <v>533</v>
      </c>
      <c r="AB136" s="31">
        <v>545</v>
      </c>
      <c r="AC136" s="15">
        <f t="shared" si="57"/>
        <v>211</v>
      </c>
      <c r="AD136" s="1"/>
      <c r="AE136" s="1">
        <v>1</v>
      </c>
      <c r="AF136" s="1" t="s">
        <v>102</v>
      </c>
      <c r="AG136" s="1">
        <v>533</v>
      </c>
      <c r="AJ136" s="81" t="s">
        <v>428</v>
      </c>
      <c r="AK136" s="81">
        <v>3837</v>
      </c>
      <c r="AL136" s="81">
        <v>860</v>
      </c>
      <c r="AM136" s="81">
        <v>0</v>
      </c>
      <c r="AN136" s="81">
        <v>0</v>
      </c>
      <c r="AO136" s="81">
        <v>0</v>
      </c>
      <c r="AR136" s="32" t="s">
        <v>287</v>
      </c>
      <c r="AS136" s="57">
        <v>3754</v>
      </c>
      <c r="AT136" s="57">
        <v>803</v>
      </c>
      <c r="AU136" s="57">
        <v>0</v>
      </c>
      <c r="AV136" s="57">
        <v>0</v>
      </c>
      <c r="AW136" s="57">
        <v>0</v>
      </c>
      <c r="AZ136" s="32" t="s">
        <v>428</v>
      </c>
      <c r="BA136" s="57">
        <v>3754</v>
      </c>
      <c r="BB136" s="57">
        <v>803</v>
      </c>
      <c r="BC136" s="57">
        <v>0</v>
      </c>
      <c r="BD136" s="57">
        <v>0</v>
      </c>
      <c r="BE136" s="57">
        <v>0</v>
      </c>
      <c r="BF136" s="43"/>
      <c r="BG136" s="43"/>
      <c r="BH136" s="32" t="s">
        <v>287</v>
      </c>
      <c r="BI136" s="33">
        <v>3699.57</v>
      </c>
      <c r="BJ136" s="33">
        <v>1175.76</v>
      </c>
      <c r="BK136" s="33">
        <v>0</v>
      </c>
      <c r="BL136" s="33">
        <v>0</v>
      </c>
      <c r="BM136" s="33">
        <v>0</v>
      </c>
    </row>
    <row r="137" spans="1:65" ht="21">
      <c r="A137" s="15" t="s">
        <v>250</v>
      </c>
      <c r="B137" s="28"/>
      <c r="C137" s="29">
        <f t="shared" si="42"/>
        <v>143363</v>
      </c>
      <c r="D137" s="21">
        <f t="shared" si="43"/>
        <v>0</v>
      </c>
      <c r="E137" s="15">
        <f t="shared" si="55"/>
        <v>143363</v>
      </c>
      <c r="F137" s="15"/>
      <c r="G137" s="15">
        <f t="shared" si="44"/>
        <v>0</v>
      </c>
      <c r="H137" s="21">
        <f t="shared" si="45"/>
        <v>18360</v>
      </c>
      <c r="I137" s="15">
        <f t="shared" si="46"/>
        <v>9180</v>
      </c>
      <c r="J137" s="21">
        <f t="shared" si="47"/>
        <v>24415</v>
      </c>
      <c r="K137" s="15">
        <f t="shared" si="48"/>
        <v>6103.75</v>
      </c>
      <c r="L137" s="15">
        <f t="shared" si="49"/>
        <v>15283.75</v>
      </c>
      <c r="M137" s="15"/>
      <c r="N137" s="15">
        <f t="shared" si="50"/>
        <v>128079.25</v>
      </c>
      <c r="O137" s="15">
        <f t="shared" si="51"/>
        <v>113871.325</v>
      </c>
      <c r="P137" s="15"/>
      <c r="Q137" s="30" t="s">
        <v>44</v>
      </c>
      <c r="R137" s="15"/>
      <c r="S137" s="76">
        <f t="shared" si="52"/>
        <v>29126</v>
      </c>
      <c r="T137" s="15">
        <f t="shared" si="53"/>
        <v>2913</v>
      </c>
      <c r="U137" s="15">
        <f t="shared" si="54"/>
        <v>32039</v>
      </c>
      <c r="V137" s="15"/>
      <c r="W137" s="15" t="s">
        <v>250</v>
      </c>
      <c r="X137" s="15">
        <f t="shared" si="56"/>
        <v>29126</v>
      </c>
      <c r="Y137" s="15">
        <v>30993</v>
      </c>
      <c r="Z137" s="15">
        <v>29916</v>
      </c>
      <c r="AA137" s="15">
        <v>30632</v>
      </c>
      <c r="AB137" s="31">
        <v>30283</v>
      </c>
      <c r="AC137" s="15">
        <f t="shared" si="57"/>
        <v>-716</v>
      </c>
      <c r="AD137" s="1"/>
      <c r="AE137" s="1">
        <v>1</v>
      </c>
      <c r="AF137" s="1" t="s">
        <v>250</v>
      </c>
      <c r="AG137" s="1">
        <v>30632</v>
      </c>
      <c r="AJ137" s="81" t="s">
        <v>526</v>
      </c>
      <c r="AK137" s="81">
        <v>143363</v>
      </c>
      <c r="AL137" s="81">
        <v>0</v>
      </c>
      <c r="AM137" s="81">
        <v>0</v>
      </c>
      <c r="AN137" s="81">
        <v>18360</v>
      </c>
      <c r="AO137" s="81">
        <v>24415</v>
      </c>
      <c r="AR137" s="32" t="s">
        <v>303</v>
      </c>
      <c r="AS137" s="57">
        <v>163043</v>
      </c>
      <c r="AT137" s="57">
        <v>0</v>
      </c>
      <c r="AU137" s="57">
        <v>0</v>
      </c>
      <c r="AV137" s="57">
        <v>18360</v>
      </c>
      <c r="AW137" s="57">
        <v>31615</v>
      </c>
      <c r="AZ137" s="32" t="s">
        <v>430</v>
      </c>
      <c r="BA137" s="57">
        <v>163043</v>
      </c>
      <c r="BB137" s="57">
        <v>0</v>
      </c>
      <c r="BC137" s="57">
        <v>0</v>
      </c>
      <c r="BD137" s="57">
        <v>18360</v>
      </c>
      <c r="BE137" s="57">
        <v>31615</v>
      </c>
      <c r="BF137" s="43"/>
      <c r="BG137" s="43"/>
      <c r="BH137" s="32" t="s">
        <v>303</v>
      </c>
      <c r="BI137" s="33">
        <v>153232</v>
      </c>
      <c r="BJ137" s="33">
        <v>0</v>
      </c>
      <c r="BK137" s="33">
        <v>0</v>
      </c>
      <c r="BL137" s="33">
        <v>0</v>
      </c>
      <c r="BM137" s="33">
        <v>36279</v>
      </c>
    </row>
    <row r="138" spans="1:65" ht="21">
      <c r="A138" s="15" t="s">
        <v>103</v>
      </c>
      <c r="B138" s="28"/>
      <c r="C138" s="29">
        <f t="shared" si="42"/>
        <v>155166</v>
      </c>
      <c r="D138" s="21">
        <f t="shared" si="43"/>
        <v>0</v>
      </c>
      <c r="E138" s="15">
        <f t="shared" si="55"/>
        <v>155166</v>
      </c>
      <c r="F138" s="15"/>
      <c r="G138" s="15">
        <f t="shared" si="44"/>
        <v>0</v>
      </c>
      <c r="H138" s="21">
        <f t="shared" si="45"/>
        <v>0</v>
      </c>
      <c r="I138" s="15">
        <f t="shared" si="46"/>
        <v>0</v>
      </c>
      <c r="J138" s="21">
        <f t="shared" si="47"/>
        <v>22172</v>
      </c>
      <c r="K138" s="15">
        <f t="shared" si="48"/>
        <v>5543</v>
      </c>
      <c r="L138" s="15">
        <f t="shared" si="49"/>
        <v>5543</v>
      </c>
      <c r="M138" s="15"/>
      <c r="N138" s="15">
        <f t="shared" si="50"/>
        <v>149623</v>
      </c>
      <c r="O138" s="15">
        <f t="shared" si="51"/>
        <v>133260.7</v>
      </c>
      <c r="P138" s="15"/>
      <c r="Q138" s="30" t="s">
        <v>44</v>
      </c>
      <c r="R138" s="15"/>
      <c r="S138" s="76">
        <f t="shared" si="52"/>
        <v>34085</v>
      </c>
      <c r="T138" s="15">
        <f t="shared" si="53"/>
        <v>3409</v>
      </c>
      <c r="U138" s="15">
        <f t="shared" si="54"/>
        <v>37494</v>
      </c>
      <c r="V138" s="15"/>
      <c r="W138" s="15" t="s">
        <v>103</v>
      </c>
      <c r="X138" s="15">
        <f t="shared" si="56"/>
        <v>34085</v>
      </c>
      <c r="Y138" s="15">
        <v>35999</v>
      </c>
      <c r="Z138" s="15">
        <v>34855</v>
      </c>
      <c r="AA138" s="15">
        <v>30441</v>
      </c>
      <c r="AB138" s="31">
        <v>29193</v>
      </c>
      <c r="AC138" s="15">
        <f t="shared" si="57"/>
        <v>4414</v>
      </c>
      <c r="AD138" s="1"/>
      <c r="AE138" s="1">
        <v>1</v>
      </c>
      <c r="AF138" s="1" t="s">
        <v>103</v>
      </c>
      <c r="AG138" s="1">
        <v>30441</v>
      </c>
      <c r="AJ138" s="81" t="s">
        <v>431</v>
      </c>
      <c r="AK138" s="81">
        <v>155166</v>
      </c>
      <c r="AL138" s="81">
        <v>0</v>
      </c>
      <c r="AM138" s="81">
        <v>0</v>
      </c>
      <c r="AN138" s="81">
        <v>0</v>
      </c>
      <c r="AO138" s="81">
        <v>22172</v>
      </c>
      <c r="AR138" s="32" t="s">
        <v>301</v>
      </c>
      <c r="AS138" s="57">
        <v>174403</v>
      </c>
      <c r="AT138" s="57">
        <v>0</v>
      </c>
      <c r="AU138" s="57">
        <v>0</v>
      </c>
      <c r="AV138" s="57">
        <v>0</v>
      </c>
      <c r="AW138" s="57">
        <v>20466</v>
      </c>
      <c r="AZ138" s="32" t="s">
        <v>431</v>
      </c>
      <c r="BA138" s="57">
        <v>174403</v>
      </c>
      <c r="BB138" s="57">
        <v>0</v>
      </c>
      <c r="BC138" s="57">
        <v>0</v>
      </c>
      <c r="BD138" s="57">
        <v>0</v>
      </c>
      <c r="BE138" s="57">
        <v>20466</v>
      </c>
      <c r="BF138" s="43"/>
      <c r="BG138" s="43"/>
      <c r="BH138" s="32" t="s">
        <v>301</v>
      </c>
      <c r="BI138" s="33">
        <v>158030</v>
      </c>
      <c r="BJ138" s="33">
        <v>0</v>
      </c>
      <c r="BK138" s="33">
        <v>1018</v>
      </c>
      <c r="BL138" s="33">
        <v>0</v>
      </c>
      <c r="BM138" s="33">
        <v>0</v>
      </c>
    </row>
    <row r="139" spans="1:65" ht="21">
      <c r="A139" s="15" t="s">
        <v>104</v>
      </c>
      <c r="B139" s="28"/>
      <c r="C139" s="29">
        <f t="shared" si="42"/>
        <v>181682.04</v>
      </c>
      <c r="D139" s="21">
        <f t="shared" si="43"/>
        <v>0</v>
      </c>
      <c r="E139" s="15">
        <f t="shared" si="55"/>
        <v>181682.04</v>
      </c>
      <c r="F139" s="15"/>
      <c r="G139" s="15">
        <f t="shared" si="44"/>
        <v>0</v>
      </c>
      <c r="H139" s="21">
        <f t="shared" si="45"/>
        <v>21087</v>
      </c>
      <c r="I139" s="15">
        <f t="shared" si="46"/>
        <v>10543.5</v>
      </c>
      <c r="J139" s="21">
        <f t="shared" si="47"/>
        <v>0</v>
      </c>
      <c r="K139" s="15">
        <f t="shared" si="48"/>
        <v>0</v>
      </c>
      <c r="L139" s="15">
        <f t="shared" si="49"/>
        <v>10543.5</v>
      </c>
      <c r="M139" s="15"/>
      <c r="N139" s="15">
        <f t="shared" si="50"/>
        <v>171138.54</v>
      </c>
      <c r="O139" s="15">
        <f t="shared" si="51"/>
        <v>152624.68600000002</v>
      </c>
      <c r="P139" s="15"/>
      <c r="Q139" s="30" t="s">
        <v>44</v>
      </c>
      <c r="R139" s="15"/>
      <c r="S139" s="76">
        <f t="shared" si="52"/>
        <v>39038</v>
      </c>
      <c r="T139" s="15">
        <f t="shared" si="53"/>
        <v>3904</v>
      </c>
      <c r="U139" s="15">
        <f t="shared" si="54"/>
        <v>42942</v>
      </c>
      <c r="V139" s="15"/>
      <c r="W139" s="15" t="s">
        <v>104</v>
      </c>
      <c r="X139" s="15">
        <f t="shared" si="56"/>
        <v>39038</v>
      </c>
      <c r="Y139" s="15">
        <v>37025</v>
      </c>
      <c r="Z139" s="15">
        <v>27738</v>
      </c>
      <c r="AA139" s="15">
        <v>38090</v>
      </c>
      <c r="AB139" s="31">
        <v>36264</v>
      </c>
      <c r="AC139" s="15">
        <f t="shared" si="57"/>
        <v>-10352</v>
      </c>
      <c r="AD139" s="1"/>
      <c r="AE139" s="1">
        <v>1</v>
      </c>
      <c r="AF139" s="1" t="s">
        <v>104</v>
      </c>
      <c r="AG139" s="1">
        <v>38090</v>
      </c>
      <c r="AJ139" s="81" t="s">
        <v>302</v>
      </c>
      <c r="AK139" s="81">
        <v>181682.04</v>
      </c>
      <c r="AL139" s="81">
        <v>0</v>
      </c>
      <c r="AM139" s="81">
        <v>0</v>
      </c>
      <c r="AN139" s="81">
        <v>21087</v>
      </c>
      <c r="AO139" s="81">
        <v>0</v>
      </c>
      <c r="AR139" s="32" t="s">
        <v>302</v>
      </c>
      <c r="AS139" s="57">
        <v>184400.53</v>
      </c>
      <c r="AT139" s="57">
        <v>0</v>
      </c>
      <c r="AU139" s="57">
        <v>0</v>
      </c>
      <c r="AV139" s="57">
        <v>20673.96</v>
      </c>
      <c r="AW139" s="57">
        <v>0</v>
      </c>
      <c r="AZ139" s="32" t="s">
        <v>302</v>
      </c>
      <c r="BA139" s="57">
        <v>184400.53</v>
      </c>
      <c r="BB139" s="57">
        <v>0</v>
      </c>
      <c r="BC139" s="57">
        <v>0</v>
      </c>
      <c r="BD139" s="57">
        <v>20673.96</v>
      </c>
      <c r="BE139" s="57">
        <v>0</v>
      </c>
      <c r="BF139" s="43"/>
      <c r="BG139" s="43"/>
      <c r="BH139" s="32" t="s">
        <v>302</v>
      </c>
      <c r="BI139" s="33">
        <v>166623</v>
      </c>
      <c r="BJ139" s="33">
        <v>0</v>
      </c>
      <c r="BK139" s="33">
        <v>0</v>
      </c>
      <c r="BL139" s="33">
        <v>20269</v>
      </c>
      <c r="BM139" s="33">
        <v>124874</v>
      </c>
    </row>
    <row r="140" spans="1:65" ht="21.75">
      <c r="A140" s="15" t="s">
        <v>231</v>
      </c>
      <c r="B140" s="62" t="s">
        <v>105</v>
      </c>
      <c r="C140" s="29">
        <f t="shared" si="42"/>
        <v>123344</v>
      </c>
      <c r="D140" s="21">
        <f t="shared" si="43"/>
        <v>0</v>
      </c>
      <c r="E140" s="15">
        <f t="shared" si="55"/>
        <v>123344</v>
      </c>
      <c r="F140" s="15"/>
      <c r="G140" s="15">
        <f t="shared" si="44"/>
        <v>0</v>
      </c>
      <c r="H140" s="21">
        <f t="shared" si="45"/>
        <v>18000</v>
      </c>
      <c r="I140" s="15">
        <f t="shared" si="46"/>
        <v>9000</v>
      </c>
      <c r="J140" s="21">
        <f t="shared" si="47"/>
        <v>0</v>
      </c>
      <c r="K140" s="15">
        <f t="shared" si="48"/>
        <v>0</v>
      </c>
      <c r="L140" s="15">
        <f t="shared" si="49"/>
        <v>9000</v>
      </c>
      <c r="M140" s="15"/>
      <c r="N140" s="15">
        <f t="shared" si="50"/>
        <v>114344</v>
      </c>
      <c r="O140" s="15">
        <f t="shared" si="51"/>
        <v>101509.6</v>
      </c>
      <c r="P140" s="15"/>
      <c r="Q140" s="30" t="s">
        <v>44</v>
      </c>
      <c r="R140" s="15"/>
      <c r="S140" s="76">
        <f t="shared" si="52"/>
        <v>25964</v>
      </c>
      <c r="T140" s="15">
        <f t="shared" si="53"/>
        <v>2596</v>
      </c>
      <c r="U140" s="15">
        <f t="shared" si="54"/>
        <v>28560</v>
      </c>
      <c r="V140" s="15"/>
      <c r="W140" s="15" t="s">
        <v>231</v>
      </c>
      <c r="X140" s="15">
        <f t="shared" si="56"/>
        <v>25964</v>
      </c>
      <c r="Y140" s="15">
        <v>24207</v>
      </c>
      <c r="Z140" s="15">
        <v>24849</v>
      </c>
      <c r="AA140" s="15">
        <v>23212</v>
      </c>
      <c r="AB140" s="31">
        <v>18228</v>
      </c>
      <c r="AC140" s="15">
        <f t="shared" si="57"/>
        <v>1637</v>
      </c>
      <c r="AD140" s="1"/>
      <c r="AE140" s="1">
        <v>1</v>
      </c>
      <c r="AF140" s="1" t="s">
        <v>231</v>
      </c>
      <c r="AG140" s="1">
        <v>23212</v>
      </c>
      <c r="AJ140" s="86"/>
      <c r="AK140" s="91">
        <f aca="true" t="shared" si="58" ref="AK140:AO141">AS140</f>
        <v>123344</v>
      </c>
      <c r="AL140" s="91">
        <f t="shared" si="58"/>
        <v>0</v>
      </c>
      <c r="AM140" s="91">
        <f t="shared" si="58"/>
        <v>0</v>
      </c>
      <c r="AN140" s="91">
        <f t="shared" si="58"/>
        <v>18000</v>
      </c>
      <c r="AO140" s="91">
        <f t="shared" si="58"/>
        <v>0</v>
      </c>
      <c r="AR140" s="32" t="s">
        <v>292</v>
      </c>
      <c r="AS140" s="57">
        <v>123344</v>
      </c>
      <c r="AT140" s="57">
        <v>0</v>
      </c>
      <c r="AU140" s="57">
        <v>0</v>
      </c>
      <c r="AV140" s="57">
        <v>18000</v>
      </c>
      <c r="AW140" s="57">
        <v>0</v>
      </c>
      <c r="AZ140" s="32" t="s">
        <v>292</v>
      </c>
      <c r="BA140" s="57">
        <v>123344</v>
      </c>
      <c r="BB140" s="57">
        <v>0</v>
      </c>
      <c r="BC140" s="57">
        <v>0</v>
      </c>
      <c r="BD140" s="57">
        <v>18000</v>
      </c>
      <c r="BE140" s="57">
        <v>0</v>
      </c>
      <c r="BF140" s="43"/>
      <c r="BG140" s="43"/>
      <c r="BH140" s="32" t="s">
        <v>292</v>
      </c>
      <c r="BI140" s="33">
        <v>121520</v>
      </c>
      <c r="BJ140" s="33">
        <v>0</v>
      </c>
      <c r="BK140" s="33">
        <v>0</v>
      </c>
      <c r="BL140" s="33">
        <v>18270</v>
      </c>
      <c r="BM140" s="33">
        <v>0</v>
      </c>
    </row>
    <row r="141" spans="1:65" ht="21.75">
      <c r="A141" s="15" t="s">
        <v>243</v>
      </c>
      <c r="B141" s="62" t="s">
        <v>105</v>
      </c>
      <c r="C141" s="29">
        <f t="shared" si="42"/>
        <v>67129.07</v>
      </c>
      <c r="D141" s="21">
        <f t="shared" si="43"/>
        <v>3208.51</v>
      </c>
      <c r="E141" s="15">
        <f t="shared" si="55"/>
        <v>70337.58</v>
      </c>
      <c r="F141" s="15"/>
      <c r="G141" s="15">
        <f t="shared" si="44"/>
        <v>0</v>
      </c>
      <c r="H141" s="21">
        <f t="shared" si="45"/>
        <v>9469.06</v>
      </c>
      <c r="I141" s="15">
        <f t="shared" si="46"/>
        <v>4734.53</v>
      </c>
      <c r="J141" s="21">
        <f t="shared" si="47"/>
        <v>4800</v>
      </c>
      <c r="K141" s="15">
        <f t="shared" si="48"/>
        <v>1200</v>
      </c>
      <c r="L141" s="15">
        <f t="shared" si="49"/>
        <v>5934.53</v>
      </c>
      <c r="M141" s="15"/>
      <c r="N141" s="15">
        <f t="shared" si="50"/>
        <v>64403.05</v>
      </c>
      <c r="O141" s="15">
        <f t="shared" si="51"/>
        <v>56562.745</v>
      </c>
      <c r="P141" s="15"/>
      <c r="Q141" s="30" t="s">
        <v>44</v>
      </c>
      <c r="R141" s="15"/>
      <c r="S141" s="76">
        <f t="shared" si="52"/>
        <v>14467</v>
      </c>
      <c r="T141" s="15">
        <f t="shared" si="53"/>
        <v>1447</v>
      </c>
      <c r="U141" s="15">
        <f t="shared" si="54"/>
        <v>15914</v>
      </c>
      <c r="V141" s="15"/>
      <c r="W141" s="15" t="s">
        <v>243</v>
      </c>
      <c r="X141" s="15">
        <f t="shared" si="56"/>
        <v>14467</v>
      </c>
      <c r="Y141" s="15">
        <v>13489</v>
      </c>
      <c r="Z141" s="15">
        <v>13995</v>
      </c>
      <c r="AA141" s="15">
        <v>15726</v>
      </c>
      <c r="AB141" s="31">
        <v>17782</v>
      </c>
      <c r="AC141" s="15">
        <f t="shared" si="57"/>
        <v>-1731</v>
      </c>
      <c r="AD141" s="1"/>
      <c r="AE141" s="1">
        <v>1</v>
      </c>
      <c r="AF141" s="1" t="s">
        <v>243</v>
      </c>
      <c r="AG141" s="1">
        <v>15726</v>
      </c>
      <c r="AJ141" s="89"/>
      <c r="AK141" s="91">
        <f t="shared" si="58"/>
        <v>67129.07</v>
      </c>
      <c r="AL141" s="91">
        <f t="shared" si="58"/>
        <v>3208.51</v>
      </c>
      <c r="AM141" s="91">
        <f t="shared" si="58"/>
        <v>0</v>
      </c>
      <c r="AN141" s="91">
        <f t="shared" si="58"/>
        <v>9469.06</v>
      </c>
      <c r="AO141" s="91">
        <f t="shared" si="58"/>
        <v>4800</v>
      </c>
      <c r="AR141" s="32" t="s">
        <v>291</v>
      </c>
      <c r="AS141" s="57">
        <v>67129.07</v>
      </c>
      <c r="AT141" s="57">
        <v>3208.51</v>
      </c>
      <c r="AU141" s="57">
        <v>0</v>
      </c>
      <c r="AV141" s="57">
        <v>9469.06</v>
      </c>
      <c r="AW141" s="57">
        <v>4800</v>
      </c>
      <c r="AZ141" s="32" t="s">
        <v>432</v>
      </c>
      <c r="BA141" s="57">
        <v>67129.07</v>
      </c>
      <c r="BB141" s="57">
        <v>3208.51</v>
      </c>
      <c r="BC141" s="57">
        <v>0</v>
      </c>
      <c r="BD141" s="57">
        <v>9469.06</v>
      </c>
      <c r="BE141" s="57">
        <v>4800</v>
      </c>
      <c r="BF141" s="43"/>
      <c r="BG141" s="43"/>
      <c r="BH141" s="32" t="s">
        <v>291</v>
      </c>
      <c r="BI141" s="33">
        <v>66712</v>
      </c>
      <c r="BJ141" s="33">
        <v>2185</v>
      </c>
      <c r="BK141" s="33">
        <v>0</v>
      </c>
      <c r="BL141" s="33">
        <v>9246</v>
      </c>
      <c r="BM141" s="33">
        <v>1200</v>
      </c>
    </row>
    <row r="142" spans="1:65" ht="21">
      <c r="A142" s="15" t="s">
        <v>106</v>
      </c>
      <c r="B142" s="28"/>
      <c r="C142" s="29">
        <f t="shared" si="42"/>
        <v>108347</v>
      </c>
      <c r="D142" s="21">
        <f t="shared" si="43"/>
        <v>0</v>
      </c>
      <c r="E142" s="15">
        <f t="shared" si="55"/>
        <v>108347</v>
      </c>
      <c r="F142" s="15"/>
      <c r="G142" s="15">
        <f t="shared" si="44"/>
        <v>0</v>
      </c>
      <c r="H142" s="21">
        <f t="shared" si="45"/>
        <v>0</v>
      </c>
      <c r="I142" s="15">
        <f t="shared" si="46"/>
        <v>0</v>
      </c>
      <c r="J142" s="21">
        <f t="shared" si="47"/>
        <v>0</v>
      </c>
      <c r="K142" s="15">
        <f t="shared" si="48"/>
        <v>0</v>
      </c>
      <c r="L142" s="15">
        <f t="shared" si="49"/>
        <v>0</v>
      </c>
      <c r="M142" s="15"/>
      <c r="N142" s="15">
        <f t="shared" si="50"/>
        <v>108347</v>
      </c>
      <c r="O142" s="15">
        <f t="shared" si="51"/>
        <v>96112.3</v>
      </c>
      <c r="P142" s="15"/>
      <c r="Q142" s="30" t="s">
        <v>44</v>
      </c>
      <c r="R142" s="15"/>
      <c r="S142" s="76">
        <f t="shared" si="52"/>
        <v>24583</v>
      </c>
      <c r="T142" s="15">
        <f t="shared" si="53"/>
        <v>2458</v>
      </c>
      <c r="U142" s="15">
        <f t="shared" si="54"/>
        <v>27041</v>
      </c>
      <c r="V142" s="15"/>
      <c r="W142" s="15" t="s">
        <v>106</v>
      </c>
      <c r="X142" s="15">
        <f t="shared" si="56"/>
        <v>24583</v>
      </c>
      <c r="Y142" s="15">
        <v>21670</v>
      </c>
      <c r="Z142" s="15">
        <v>21539</v>
      </c>
      <c r="AA142" s="15">
        <v>25782</v>
      </c>
      <c r="AB142" s="31">
        <v>24614</v>
      </c>
      <c r="AC142" s="15">
        <f t="shared" si="57"/>
        <v>-4243</v>
      </c>
      <c r="AD142" s="1"/>
      <c r="AE142" s="1">
        <v>1</v>
      </c>
      <c r="AF142" s="1" t="s">
        <v>106</v>
      </c>
      <c r="AG142" s="1">
        <v>25782</v>
      </c>
      <c r="AJ142" s="81" t="s">
        <v>290</v>
      </c>
      <c r="AK142" s="81">
        <v>108347</v>
      </c>
      <c r="AL142" s="81">
        <v>0</v>
      </c>
      <c r="AN142" s="81">
        <v>0</v>
      </c>
      <c r="AO142" s="81">
        <v>0</v>
      </c>
      <c r="AR142" s="32" t="s">
        <v>290</v>
      </c>
      <c r="AS142" s="57">
        <v>102521</v>
      </c>
      <c r="AT142" s="57">
        <v>0</v>
      </c>
      <c r="AU142" s="57">
        <v>0</v>
      </c>
      <c r="AV142" s="57">
        <v>0</v>
      </c>
      <c r="AW142" s="57">
        <v>0</v>
      </c>
      <c r="AZ142" s="32" t="s">
        <v>433</v>
      </c>
      <c r="BA142" s="57">
        <v>102521</v>
      </c>
      <c r="BB142" s="57">
        <v>0</v>
      </c>
      <c r="BC142" s="57">
        <v>0</v>
      </c>
      <c r="BD142" s="57">
        <v>0</v>
      </c>
      <c r="BE142" s="57">
        <v>0</v>
      </c>
      <c r="BF142" s="43"/>
      <c r="BG142" s="43"/>
      <c r="BH142" s="32" t="s">
        <v>290</v>
      </c>
      <c r="BI142" s="33">
        <v>97620</v>
      </c>
      <c r="BJ142" s="33">
        <v>0</v>
      </c>
      <c r="BK142" s="33">
        <v>0</v>
      </c>
      <c r="BL142" s="33">
        <v>0</v>
      </c>
      <c r="BM142" s="33">
        <v>0</v>
      </c>
    </row>
    <row r="143" spans="1:65" ht="21">
      <c r="A143" s="15" t="s">
        <v>107</v>
      </c>
      <c r="B143" s="28"/>
      <c r="C143" s="29">
        <f t="shared" si="42"/>
        <v>99608</v>
      </c>
      <c r="D143" s="21">
        <f t="shared" si="43"/>
        <v>0</v>
      </c>
      <c r="E143" s="15">
        <f t="shared" si="55"/>
        <v>99608</v>
      </c>
      <c r="F143" s="15"/>
      <c r="G143" s="15">
        <f t="shared" si="44"/>
        <v>0</v>
      </c>
      <c r="H143" s="21">
        <f t="shared" si="45"/>
        <v>17500</v>
      </c>
      <c r="I143" s="15">
        <f t="shared" si="46"/>
        <v>8750</v>
      </c>
      <c r="J143" s="21">
        <f t="shared" si="47"/>
        <v>0</v>
      </c>
      <c r="K143" s="15">
        <f t="shared" si="48"/>
        <v>0</v>
      </c>
      <c r="L143" s="15">
        <f t="shared" si="49"/>
        <v>8750</v>
      </c>
      <c r="M143" s="15"/>
      <c r="N143" s="15">
        <f t="shared" si="50"/>
        <v>90858</v>
      </c>
      <c r="O143" s="15">
        <f t="shared" si="51"/>
        <v>80372.2</v>
      </c>
      <c r="P143" s="15"/>
      <c r="Q143" s="30" t="s">
        <v>44</v>
      </c>
      <c r="R143" s="15"/>
      <c r="S143" s="76">
        <f t="shared" si="52"/>
        <v>20557</v>
      </c>
      <c r="T143" s="15">
        <f t="shared" si="53"/>
        <v>2056</v>
      </c>
      <c r="U143" s="15">
        <f t="shared" si="54"/>
        <v>22613</v>
      </c>
      <c r="V143" s="15"/>
      <c r="W143" s="15" t="s">
        <v>107</v>
      </c>
      <c r="X143" s="15">
        <f t="shared" si="56"/>
        <v>20557</v>
      </c>
      <c r="Y143" s="15">
        <v>25650</v>
      </c>
      <c r="Z143" s="15">
        <v>21778</v>
      </c>
      <c r="AA143" s="15">
        <v>17490</v>
      </c>
      <c r="AB143" s="31">
        <v>26670</v>
      </c>
      <c r="AC143" s="15">
        <f t="shared" si="57"/>
        <v>4288</v>
      </c>
      <c r="AD143" s="1"/>
      <c r="AE143" s="1">
        <v>1</v>
      </c>
      <c r="AF143" s="1" t="s">
        <v>107</v>
      </c>
      <c r="AG143" s="1">
        <v>17490</v>
      </c>
      <c r="AJ143" s="81" t="s">
        <v>529</v>
      </c>
      <c r="AK143" s="81">
        <v>99608</v>
      </c>
      <c r="AL143" s="81">
        <v>0</v>
      </c>
      <c r="AM143" s="81">
        <v>0</v>
      </c>
      <c r="AN143" s="81">
        <v>17500</v>
      </c>
      <c r="AO143" s="81">
        <v>0</v>
      </c>
      <c r="AR143" s="32" t="s">
        <v>289</v>
      </c>
      <c r="AS143" s="57">
        <v>129507</v>
      </c>
      <c r="AT143" s="57">
        <v>0</v>
      </c>
      <c r="AU143" s="57">
        <v>0</v>
      </c>
      <c r="AV143" s="57">
        <v>16886</v>
      </c>
      <c r="AW143" s="57">
        <v>0</v>
      </c>
      <c r="AZ143" s="32" t="s">
        <v>434</v>
      </c>
      <c r="BA143" s="57">
        <v>129507</v>
      </c>
      <c r="BB143" s="57">
        <v>0</v>
      </c>
      <c r="BC143" s="57">
        <v>0</v>
      </c>
      <c r="BD143" s="57">
        <v>16886</v>
      </c>
      <c r="BE143" s="57">
        <v>0</v>
      </c>
      <c r="BF143" s="43"/>
      <c r="BG143" s="43"/>
      <c r="BH143" s="32" t="s">
        <v>289</v>
      </c>
      <c r="BI143" s="33">
        <v>105205.49</v>
      </c>
      <c r="BJ143" s="33">
        <v>1925.02</v>
      </c>
      <c r="BK143" s="33">
        <v>0</v>
      </c>
      <c r="BL143" s="33">
        <v>16886</v>
      </c>
      <c r="BM143" s="33">
        <v>0</v>
      </c>
    </row>
    <row r="144" spans="1:65" ht="21">
      <c r="A144" s="15" t="s">
        <v>108</v>
      </c>
      <c r="B144" s="28"/>
      <c r="C144" s="29">
        <f t="shared" si="42"/>
        <v>147471</v>
      </c>
      <c r="D144" s="21">
        <f t="shared" si="43"/>
        <v>0</v>
      </c>
      <c r="E144" s="15">
        <f t="shared" si="55"/>
        <v>147471</v>
      </c>
      <c r="F144" s="15"/>
      <c r="G144" s="15">
        <f t="shared" si="44"/>
        <v>0</v>
      </c>
      <c r="H144" s="21">
        <f t="shared" si="45"/>
        <v>0</v>
      </c>
      <c r="I144" s="15">
        <f t="shared" si="46"/>
        <v>0</v>
      </c>
      <c r="J144" s="21">
        <f t="shared" si="47"/>
        <v>0</v>
      </c>
      <c r="K144" s="15">
        <f t="shared" si="48"/>
        <v>0</v>
      </c>
      <c r="L144" s="15">
        <f t="shared" si="49"/>
        <v>0</v>
      </c>
      <c r="M144" s="15"/>
      <c r="N144" s="15">
        <f t="shared" si="50"/>
        <v>147471</v>
      </c>
      <c r="O144" s="15">
        <f>IF(N144&gt;=4000,(N144-4000)*0.9+2200,IF(N144&gt;=3000,(N144-3000)*0.8+1400,IF(N144&gt;=2000,(N144-2000)*0.6+800,IF(N144&gt;0,N144*0.4,0))))</f>
        <v>131323.90000000002</v>
      </c>
      <c r="P144" s="15"/>
      <c r="Q144" s="30" t="s">
        <v>44</v>
      </c>
      <c r="R144" s="15"/>
      <c r="S144" s="76">
        <f>ROUND(SUM(O144*$Q$10),0)</f>
        <v>33590</v>
      </c>
      <c r="T144" s="15">
        <f>ROUND(SUM(S144*0.1),0)</f>
        <v>3359</v>
      </c>
      <c r="U144" s="15">
        <f>SUM(S144:T144)</f>
        <v>36949</v>
      </c>
      <c r="V144" s="15"/>
      <c r="W144" s="15" t="s">
        <v>108</v>
      </c>
      <c r="X144" s="15">
        <f t="shared" si="56"/>
        <v>33590</v>
      </c>
      <c r="Y144" s="15">
        <v>31029</v>
      </c>
      <c r="Z144" s="15">
        <v>31336</v>
      </c>
      <c r="AA144" s="15">
        <v>31235</v>
      </c>
      <c r="AB144" s="31">
        <v>30384</v>
      </c>
      <c r="AC144" s="15">
        <f t="shared" si="57"/>
        <v>101</v>
      </c>
      <c r="AD144" s="1"/>
      <c r="AE144" s="1">
        <v>1</v>
      </c>
      <c r="AF144" s="1" t="s">
        <v>108</v>
      </c>
      <c r="AG144" s="1">
        <v>31235</v>
      </c>
      <c r="AJ144" s="81" t="s">
        <v>288</v>
      </c>
      <c r="AK144" s="81">
        <v>147471</v>
      </c>
      <c r="AL144" s="81">
        <v>0</v>
      </c>
      <c r="AM144" s="81">
        <v>0</v>
      </c>
      <c r="AN144" s="81">
        <v>0</v>
      </c>
      <c r="AO144" s="81">
        <v>0</v>
      </c>
      <c r="AR144" s="32" t="s">
        <v>288</v>
      </c>
      <c r="AS144" s="57">
        <v>146130</v>
      </c>
      <c r="AT144" s="57">
        <v>0</v>
      </c>
      <c r="AU144" s="57">
        <v>0</v>
      </c>
      <c r="AV144" s="57">
        <v>0</v>
      </c>
      <c r="AW144" s="57">
        <v>0</v>
      </c>
      <c r="AZ144" s="32" t="s">
        <v>435</v>
      </c>
      <c r="BA144" s="57">
        <v>146130</v>
      </c>
      <c r="BB144" s="57">
        <v>0</v>
      </c>
      <c r="BC144" s="57">
        <v>0</v>
      </c>
      <c r="BD144" s="57">
        <v>0</v>
      </c>
      <c r="BE144" s="57">
        <v>0</v>
      </c>
      <c r="BF144" s="43"/>
      <c r="BG144" s="43"/>
      <c r="BH144" s="32" t="s">
        <v>288</v>
      </c>
      <c r="BI144" s="33">
        <v>141316.84</v>
      </c>
      <c r="BJ144" s="33">
        <v>0</v>
      </c>
      <c r="BK144" s="33">
        <v>0</v>
      </c>
      <c r="BL144" s="33">
        <v>0</v>
      </c>
      <c r="BM144" s="33">
        <v>0</v>
      </c>
    </row>
    <row r="145" spans="1:65" ht="21">
      <c r="A145" s="15" t="s">
        <v>109</v>
      </c>
      <c r="B145" s="28"/>
      <c r="C145" s="29">
        <f t="shared" si="42"/>
        <v>113088</v>
      </c>
      <c r="D145" s="21">
        <f t="shared" si="43"/>
        <v>0</v>
      </c>
      <c r="E145" s="15">
        <f t="shared" si="55"/>
        <v>113088</v>
      </c>
      <c r="F145" s="15"/>
      <c r="G145" s="15">
        <f t="shared" si="44"/>
        <v>0</v>
      </c>
      <c r="H145" s="21">
        <f t="shared" si="45"/>
        <v>0</v>
      </c>
      <c r="I145" s="15">
        <f t="shared" si="46"/>
        <v>0</v>
      </c>
      <c r="J145" s="21">
        <f t="shared" si="47"/>
        <v>0</v>
      </c>
      <c r="K145" s="15">
        <f t="shared" si="48"/>
        <v>0</v>
      </c>
      <c r="L145" s="15">
        <f t="shared" si="49"/>
        <v>0</v>
      </c>
      <c r="M145" s="15"/>
      <c r="N145" s="15">
        <f t="shared" si="50"/>
        <v>113088</v>
      </c>
      <c r="O145" s="15">
        <f>IF(N145&gt;=4000,(N145-4000)*0.9+2200,IF(N145&gt;=3000,(N145-3000)*0.8+1400,IF(N145&gt;=2000,(N145-2000)*0.6+800,IF(N145&gt;0,N145*0.4,0))))</f>
        <v>100379.2</v>
      </c>
      <c r="P145" s="15"/>
      <c r="Q145" s="30" t="s">
        <v>44</v>
      </c>
      <c r="R145" s="15"/>
      <c r="S145" s="76">
        <f>ROUND(SUM(O145*$Q$10),0)</f>
        <v>25675</v>
      </c>
      <c r="T145" s="15">
        <f>ROUND(SUM(S145*0.1),0)</f>
        <v>2568</v>
      </c>
      <c r="U145" s="15">
        <f>SUM(S145:T145)</f>
        <v>28243</v>
      </c>
      <c r="V145" s="15"/>
      <c r="W145" s="15" t="s">
        <v>109</v>
      </c>
      <c r="X145" s="15">
        <f t="shared" si="56"/>
        <v>25675</v>
      </c>
      <c r="Y145" s="15">
        <v>27056</v>
      </c>
      <c r="Z145" s="15">
        <v>26849</v>
      </c>
      <c r="AA145" s="15">
        <v>27150</v>
      </c>
      <c r="AB145" s="31">
        <v>26121</v>
      </c>
      <c r="AC145" s="15">
        <f t="shared" si="57"/>
        <v>-301</v>
      </c>
      <c r="AD145" s="1"/>
      <c r="AE145" s="1">
        <v>1</v>
      </c>
      <c r="AF145" s="1" t="s">
        <v>109</v>
      </c>
      <c r="AG145" s="1">
        <v>27150</v>
      </c>
      <c r="AJ145" s="81" t="s">
        <v>293</v>
      </c>
      <c r="AK145" s="81">
        <v>113088</v>
      </c>
      <c r="AL145" s="81">
        <v>0</v>
      </c>
      <c r="AM145" s="81">
        <v>0</v>
      </c>
      <c r="AN145" s="81">
        <v>0</v>
      </c>
      <c r="AO145" s="81">
        <v>0</v>
      </c>
      <c r="AR145" s="32" t="s">
        <v>293</v>
      </c>
      <c r="AS145" s="57">
        <v>133520</v>
      </c>
      <c r="AT145" s="57">
        <v>0</v>
      </c>
      <c r="AU145" s="57">
        <v>0</v>
      </c>
      <c r="AV145" s="57">
        <v>0</v>
      </c>
      <c r="AW145" s="57">
        <v>23606</v>
      </c>
      <c r="AZ145" s="32" t="s">
        <v>293</v>
      </c>
      <c r="BA145" s="57">
        <v>133520</v>
      </c>
      <c r="BB145" s="57">
        <v>0</v>
      </c>
      <c r="BC145" s="57">
        <v>0</v>
      </c>
      <c r="BD145" s="57">
        <v>0</v>
      </c>
      <c r="BE145" s="57">
        <v>23606</v>
      </c>
      <c r="BF145" s="43"/>
      <c r="BG145" s="43"/>
      <c r="BH145" s="32" t="s">
        <v>293</v>
      </c>
      <c r="BI145" s="33">
        <v>127471</v>
      </c>
      <c r="BJ145" s="33">
        <v>0</v>
      </c>
      <c r="BK145" s="33">
        <v>0</v>
      </c>
      <c r="BL145" s="33">
        <v>0</v>
      </c>
      <c r="BM145" s="33">
        <v>24671</v>
      </c>
    </row>
    <row r="146" spans="1:59" ht="21">
      <c r="A146" s="19" t="s">
        <v>3</v>
      </c>
      <c r="B146" s="15"/>
      <c r="C146" s="19" t="s">
        <v>3</v>
      </c>
      <c r="D146" s="19" t="s">
        <v>3</v>
      </c>
      <c r="E146" s="19" t="s">
        <v>3</v>
      </c>
      <c r="F146" s="15"/>
      <c r="G146" s="19" t="s">
        <v>3</v>
      </c>
      <c r="H146" s="19" t="s">
        <v>3</v>
      </c>
      <c r="I146" s="19" t="s">
        <v>3</v>
      </c>
      <c r="J146" s="19" t="s">
        <v>3</v>
      </c>
      <c r="K146" s="19" t="s">
        <v>3</v>
      </c>
      <c r="L146" s="19" t="s">
        <v>3</v>
      </c>
      <c r="M146" s="15"/>
      <c r="N146" s="19" t="s">
        <v>3</v>
      </c>
      <c r="O146" s="19" t="s">
        <v>3</v>
      </c>
      <c r="P146" s="15"/>
      <c r="Q146" s="15"/>
      <c r="R146" s="15"/>
      <c r="S146" s="78" t="s">
        <v>3</v>
      </c>
      <c r="T146" s="19" t="s">
        <v>3</v>
      </c>
      <c r="U146" s="19" t="s">
        <v>3</v>
      </c>
      <c r="V146" s="15"/>
      <c r="W146" s="15"/>
      <c r="X146" s="15"/>
      <c r="Y146" s="15"/>
      <c r="Z146" s="14"/>
      <c r="AA146" s="14"/>
      <c r="AB146" s="38"/>
      <c r="AC146" s="1"/>
      <c r="AD146" s="1"/>
      <c r="AE146" s="1"/>
      <c r="AF146" s="1"/>
      <c r="AG146" s="1"/>
      <c r="BF146" s="43"/>
      <c r="BG146" s="43"/>
    </row>
    <row r="147" spans="1:41" ht="21">
      <c r="A147" s="15" t="s">
        <v>48</v>
      </c>
      <c r="B147" s="15"/>
      <c r="C147" s="15">
        <f>SUM(C125:C146)</f>
        <v>1791522.25</v>
      </c>
      <c r="D147" s="15">
        <f>SUM(D125:D146)</f>
        <v>5724.51</v>
      </c>
      <c r="E147" s="15">
        <f>SUM(E125:E146)</f>
        <v>1797246.76</v>
      </c>
      <c r="F147" s="15"/>
      <c r="G147" s="15">
        <f aca="true" t="shared" si="59" ref="G147:L147">SUM(G125:G146)</f>
        <v>0</v>
      </c>
      <c r="H147" s="15">
        <f t="shared" si="59"/>
        <v>165142.4</v>
      </c>
      <c r="I147" s="15">
        <f t="shared" si="59"/>
        <v>82571.2</v>
      </c>
      <c r="J147" s="15">
        <f t="shared" si="59"/>
        <v>51387</v>
      </c>
      <c r="K147" s="15">
        <f t="shared" si="59"/>
        <v>12846.75</v>
      </c>
      <c r="L147" s="15">
        <f t="shared" si="59"/>
        <v>95417.95</v>
      </c>
      <c r="M147" s="15"/>
      <c r="N147" s="15">
        <f>SUM(N125:N146)</f>
        <v>1701828.81</v>
      </c>
      <c r="O147" s="15">
        <f>SUM(O125:O146)</f>
        <v>1503645.9289999998</v>
      </c>
      <c r="P147" s="15"/>
      <c r="Q147" s="18" t="s">
        <v>49</v>
      </c>
      <c r="R147" s="15"/>
      <c r="S147" s="76">
        <f>SUM(S125:S146)</f>
        <v>384596</v>
      </c>
      <c r="T147" s="15">
        <f>SUM(T125:T146)</f>
        <v>38461</v>
      </c>
      <c r="U147" s="15">
        <f>SUM(U125:U146)</f>
        <v>423057</v>
      </c>
      <c r="V147" s="15"/>
      <c r="X147" s="15">
        <f>SUM(X126:X146)</f>
        <v>384596</v>
      </c>
      <c r="Y147" s="15">
        <f>SUM(Y126:Y146)</f>
        <v>411386</v>
      </c>
      <c r="Z147" s="15">
        <f>SUM(Z126:Z146)</f>
        <v>399068</v>
      </c>
      <c r="AA147" s="15">
        <f>SUM(AA126:AA146)</f>
        <v>405557</v>
      </c>
      <c r="AB147" s="15">
        <f>SUM(AB126:AB146)</f>
        <v>408274</v>
      </c>
      <c r="AC147" s="15">
        <f t="shared" si="57"/>
        <v>-6489</v>
      </c>
      <c r="AD147" s="1"/>
      <c r="AE147" s="1"/>
      <c r="AF147" s="1"/>
      <c r="AG147" s="1"/>
      <c r="AI147" s="87" t="s">
        <v>534</v>
      </c>
      <c r="AJ147" s="81" t="s">
        <v>528</v>
      </c>
      <c r="AK147" s="84">
        <v>58903</v>
      </c>
      <c r="AL147" s="84">
        <v>435</v>
      </c>
      <c r="AM147" s="84">
        <v>0</v>
      </c>
      <c r="AN147" s="84">
        <v>10000</v>
      </c>
      <c r="AO147" s="81">
        <v>1250</v>
      </c>
    </row>
    <row r="148" spans="1:41" ht="21">
      <c r="A148" s="19" t="s">
        <v>3</v>
      </c>
      <c r="B148" s="15"/>
      <c r="C148" s="19" t="s">
        <v>3</v>
      </c>
      <c r="D148" s="19" t="s">
        <v>3</v>
      </c>
      <c r="E148" s="19" t="s">
        <v>3</v>
      </c>
      <c r="F148" s="15"/>
      <c r="G148" s="19" t="s">
        <v>3</v>
      </c>
      <c r="H148" s="19" t="s">
        <v>3</v>
      </c>
      <c r="I148" s="19" t="s">
        <v>3</v>
      </c>
      <c r="J148" s="19" t="s">
        <v>3</v>
      </c>
      <c r="K148" s="19" t="s">
        <v>3</v>
      </c>
      <c r="L148" s="19" t="s">
        <v>3</v>
      </c>
      <c r="M148" s="15"/>
      <c r="N148" s="19" t="s">
        <v>3</v>
      </c>
      <c r="O148" s="19" t="s">
        <v>3</v>
      </c>
      <c r="P148" s="15"/>
      <c r="Q148" s="15"/>
      <c r="R148" s="15"/>
      <c r="S148" s="78" t="s">
        <v>3</v>
      </c>
      <c r="T148" s="19" t="s">
        <v>3</v>
      </c>
      <c r="U148" s="19" t="s">
        <v>3</v>
      </c>
      <c r="V148" s="15"/>
      <c r="W148" s="15"/>
      <c r="X148" s="15"/>
      <c r="Y148" s="15"/>
      <c r="Z148" s="1"/>
      <c r="AA148" s="1"/>
      <c r="AB148" s="38"/>
      <c r="AC148" s="1"/>
      <c r="AD148" s="1"/>
      <c r="AE148" s="1"/>
      <c r="AF148" s="1"/>
      <c r="AG148" s="1"/>
      <c r="AI148" s="87" t="s">
        <v>534</v>
      </c>
      <c r="AJ148" s="81" t="s">
        <v>292</v>
      </c>
      <c r="AK148" s="81">
        <v>67916</v>
      </c>
      <c r="AL148" s="81">
        <v>0</v>
      </c>
      <c r="AM148" s="81">
        <v>0</v>
      </c>
      <c r="AN148" s="81">
        <v>18000</v>
      </c>
      <c r="AO148" s="81">
        <v>0</v>
      </c>
    </row>
    <row r="149" spans="1:65" ht="2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79"/>
      <c r="T149" s="35"/>
      <c r="U149" s="35"/>
      <c r="V149" s="35"/>
      <c r="W149" s="35"/>
      <c r="X149" s="35"/>
      <c r="Y149" s="35"/>
      <c r="AB149" s="38"/>
      <c r="AI149" s="87" t="s">
        <v>534</v>
      </c>
      <c r="AJ149" s="81" t="s">
        <v>292</v>
      </c>
      <c r="AK149" s="81">
        <v>117080</v>
      </c>
      <c r="AL149" s="81">
        <v>0</v>
      </c>
      <c r="AM149" s="81">
        <v>0</v>
      </c>
      <c r="AN149" s="81">
        <v>18000</v>
      </c>
      <c r="AO149" s="81">
        <v>0</v>
      </c>
      <c r="AR149" s="32"/>
      <c r="BH149" s="32"/>
      <c r="BI149" s="33"/>
      <c r="BJ149" s="33"/>
      <c r="BK149" s="33"/>
      <c r="BL149" s="33"/>
      <c r="BM149" s="33"/>
    </row>
    <row r="150" spans="1:65" ht="21">
      <c r="A150" s="15" t="s">
        <v>61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76"/>
      <c r="T150" s="15"/>
      <c r="U150" s="15"/>
      <c r="V150" s="15"/>
      <c r="W150" s="15"/>
      <c r="X150" s="15"/>
      <c r="Y150" s="15"/>
      <c r="Z150" s="1"/>
      <c r="AA150" s="1"/>
      <c r="AB150" s="38"/>
      <c r="AC150" s="1"/>
      <c r="AD150" s="1"/>
      <c r="AE150" s="1"/>
      <c r="AF150" s="1"/>
      <c r="AG150" s="1"/>
      <c r="AI150" s="87" t="s">
        <v>534</v>
      </c>
      <c r="AJ150" s="81" t="s">
        <v>533</v>
      </c>
      <c r="AK150" s="84">
        <v>127750</v>
      </c>
      <c r="AL150" s="81">
        <v>0</v>
      </c>
      <c r="AM150" s="81">
        <v>0</v>
      </c>
      <c r="AN150" s="81">
        <v>0</v>
      </c>
      <c r="AO150" s="81">
        <v>0</v>
      </c>
      <c r="AR150" s="32"/>
      <c r="BH150" s="32"/>
      <c r="BI150" s="33"/>
      <c r="BJ150" s="33"/>
      <c r="BK150" s="33"/>
      <c r="BL150" s="33"/>
      <c r="BM150" s="33"/>
    </row>
    <row r="151" spans="1:33" ht="21">
      <c r="A151" s="15" t="s">
        <v>187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76"/>
      <c r="T151" s="15"/>
      <c r="U151" s="15"/>
      <c r="V151" s="15"/>
      <c r="W151" s="15"/>
      <c r="X151" s="15"/>
      <c r="Y151" s="15"/>
      <c r="Z151" s="1"/>
      <c r="AA151" s="1"/>
      <c r="AB151" s="38"/>
      <c r="AC151" s="1"/>
      <c r="AD151" s="1"/>
      <c r="AE151" s="1"/>
      <c r="AF151" s="1"/>
      <c r="AG151" s="1"/>
    </row>
    <row r="152" spans="1:33" ht="21">
      <c r="A152" s="15" t="s">
        <v>63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76"/>
      <c r="T152" s="15"/>
      <c r="U152" s="15"/>
      <c r="V152" s="15"/>
      <c r="W152" s="15"/>
      <c r="X152" s="15"/>
      <c r="Y152" s="15"/>
      <c r="Z152" s="1"/>
      <c r="AA152" s="1"/>
      <c r="AB152" s="38"/>
      <c r="AC152" s="1"/>
      <c r="AD152" s="1"/>
      <c r="AE152" s="1"/>
      <c r="AF152" s="1"/>
      <c r="AG152" s="1"/>
    </row>
    <row r="153" spans="1:33" ht="21">
      <c r="A153" s="15" t="s">
        <v>62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76"/>
      <c r="T153" s="15"/>
      <c r="U153" s="15"/>
      <c r="V153" s="15"/>
      <c r="W153" s="15"/>
      <c r="X153" s="15"/>
      <c r="Y153" s="15"/>
      <c r="Z153" s="1"/>
      <c r="AA153" s="1"/>
      <c r="AB153" s="38"/>
      <c r="AC153" s="1"/>
      <c r="AD153" s="1"/>
      <c r="AE153" s="1"/>
      <c r="AF153" s="1"/>
      <c r="AG153" s="1"/>
    </row>
    <row r="154" spans="1:33" ht="21">
      <c r="A154" s="35" t="s">
        <v>188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76"/>
      <c r="T154" s="15"/>
      <c r="U154" s="15"/>
      <c r="V154" s="15"/>
      <c r="W154" s="15"/>
      <c r="X154" s="15"/>
      <c r="Y154" s="15"/>
      <c r="Z154" s="1"/>
      <c r="AA154" s="1"/>
      <c r="AB154" s="38"/>
      <c r="AC154" s="1"/>
      <c r="AD154" s="1"/>
      <c r="AE154" s="1"/>
      <c r="AF154" s="1"/>
      <c r="AG154" s="1"/>
    </row>
    <row r="155" spans="1:28" ht="2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79"/>
      <c r="T155" s="35"/>
      <c r="U155" s="35"/>
      <c r="V155" s="35"/>
      <c r="W155" s="35"/>
      <c r="X155" s="35"/>
      <c r="Y155" s="35"/>
      <c r="AB155" s="38"/>
    </row>
    <row r="156" spans="1:33" ht="21">
      <c r="A156" s="15" t="s">
        <v>64</v>
      </c>
      <c r="B156" s="15"/>
      <c r="C156" s="15"/>
      <c r="D156" s="15" t="s">
        <v>65</v>
      </c>
      <c r="E156" s="15"/>
      <c r="F156" s="15"/>
      <c r="G156" s="15"/>
      <c r="H156" s="15"/>
      <c r="I156" s="15"/>
      <c r="J156" s="15"/>
      <c r="K156" s="15"/>
      <c r="L156" s="15" t="s">
        <v>66</v>
      </c>
      <c r="M156" s="15"/>
      <c r="N156" s="15"/>
      <c r="O156" s="15"/>
      <c r="P156" s="15"/>
      <c r="Q156" s="15"/>
      <c r="R156" s="15"/>
      <c r="S156" s="76"/>
      <c r="T156" s="15"/>
      <c r="U156" s="15"/>
      <c r="V156" s="15"/>
      <c r="W156" s="15"/>
      <c r="X156" s="15"/>
      <c r="Y156" s="15"/>
      <c r="Z156" s="1"/>
      <c r="AA156" s="1"/>
      <c r="AB156" s="38"/>
      <c r="AC156" s="1"/>
      <c r="AD156" s="1"/>
      <c r="AE156" s="1"/>
      <c r="AF156" s="1"/>
      <c r="AG156" s="1"/>
    </row>
    <row r="157" spans="1:33" ht="21">
      <c r="A157" s="19" t="s">
        <v>3</v>
      </c>
      <c r="B157" s="15"/>
      <c r="C157" s="15"/>
      <c r="D157" s="19" t="s">
        <v>3</v>
      </c>
      <c r="E157" s="19" t="s">
        <v>3</v>
      </c>
      <c r="F157" s="15"/>
      <c r="G157" s="15"/>
      <c r="H157" s="15"/>
      <c r="I157" s="15"/>
      <c r="J157" s="15"/>
      <c r="K157" s="15"/>
      <c r="L157" s="15" t="s">
        <v>67</v>
      </c>
      <c r="M157" s="15"/>
      <c r="N157" s="15"/>
      <c r="O157" s="15"/>
      <c r="P157" s="15"/>
      <c r="Q157" s="15"/>
      <c r="R157" s="15"/>
      <c r="S157" s="76"/>
      <c r="T157" s="15"/>
      <c r="U157" s="15"/>
      <c r="V157" s="15"/>
      <c r="W157" s="15"/>
      <c r="X157" s="15"/>
      <c r="Y157" s="15"/>
      <c r="Z157" s="1"/>
      <c r="AA157" s="1"/>
      <c r="AB157" s="38"/>
      <c r="AC157" s="1"/>
      <c r="AD157" s="1"/>
      <c r="AE157" s="1"/>
      <c r="AF157" s="1"/>
      <c r="AG157" s="1"/>
    </row>
    <row r="158" spans="1:33" ht="21">
      <c r="A158" s="15" t="s">
        <v>68</v>
      </c>
      <c r="B158" s="15"/>
      <c r="C158" s="15"/>
      <c r="D158" s="15" t="s">
        <v>69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76"/>
      <c r="T158" s="15"/>
      <c r="U158" s="15"/>
      <c r="V158" s="15"/>
      <c r="W158" s="15"/>
      <c r="X158" s="15"/>
      <c r="Y158" s="15"/>
      <c r="Z158" s="1"/>
      <c r="AA158" s="1"/>
      <c r="AB158" s="38"/>
      <c r="AC158" s="1"/>
      <c r="AD158" s="1"/>
      <c r="AE158" s="1"/>
      <c r="AF158" s="1"/>
      <c r="AG158" s="1"/>
    </row>
    <row r="159" spans="1:33" ht="21">
      <c r="A159" s="15" t="s">
        <v>70</v>
      </c>
      <c r="B159" s="15"/>
      <c r="C159" s="15"/>
      <c r="D159" s="15" t="s">
        <v>71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76"/>
      <c r="T159" s="15"/>
      <c r="U159" s="15"/>
      <c r="V159" s="15"/>
      <c r="W159" s="15"/>
      <c r="X159" s="15"/>
      <c r="Y159" s="15"/>
      <c r="Z159" s="1"/>
      <c r="AA159" s="1"/>
      <c r="AB159" s="38"/>
      <c r="AC159" s="1"/>
      <c r="AD159" s="1"/>
      <c r="AE159" s="1"/>
      <c r="AF159" s="1"/>
      <c r="AG159" s="1"/>
    </row>
    <row r="160" spans="1:33" ht="21">
      <c r="A160" s="15" t="s">
        <v>72</v>
      </c>
      <c r="B160" s="15"/>
      <c r="C160" s="15"/>
      <c r="D160" s="15" t="s">
        <v>73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76"/>
      <c r="T160" s="15"/>
      <c r="U160" s="15"/>
      <c r="V160" s="15"/>
      <c r="W160" s="15"/>
      <c r="X160" s="15"/>
      <c r="Y160" s="15"/>
      <c r="Z160" s="1"/>
      <c r="AA160" s="1"/>
      <c r="AB160" s="38"/>
      <c r="AC160" s="1"/>
      <c r="AD160" s="1"/>
      <c r="AE160" s="1"/>
      <c r="AF160" s="1"/>
      <c r="AG160" s="1"/>
    </row>
    <row r="161" spans="1:33" ht="21">
      <c r="A161" s="15" t="s">
        <v>74</v>
      </c>
      <c r="B161" s="15"/>
      <c r="C161" s="15"/>
      <c r="D161" s="15" t="s">
        <v>75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76"/>
      <c r="T161" s="15"/>
      <c r="U161" s="15"/>
      <c r="V161" s="15"/>
      <c r="W161" s="15"/>
      <c r="X161" s="15"/>
      <c r="Y161" s="15"/>
      <c r="Z161" s="1"/>
      <c r="AA161" s="1"/>
      <c r="AB161" s="38"/>
      <c r="AC161" s="1"/>
      <c r="AD161" s="1"/>
      <c r="AE161" s="1"/>
      <c r="AF161" s="1"/>
      <c r="AG161" s="1"/>
    </row>
    <row r="162" spans="1:28" ht="2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79"/>
      <c r="T162" s="35"/>
      <c r="U162" s="35"/>
      <c r="V162" s="35"/>
      <c r="W162" s="35"/>
      <c r="X162" s="35"/>
      <c r="Y162" s="35"/>
      <c r="AB162" s="38"/>
    </row>
    <row r="163" spans="1:28" ht="21">
      <c r="A163" s="15" t="s">
        <v>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76"/>
      <c r="T163" s="15"/>
      <c r="U163" s="15"/>
      <c r="V163" s="15"/>
      <c r="W163" s="35"/>
      <c r="X163" s="35"/>
      <c r="Y163" s="35"/>
      <c r="AB163" s="38"/>
    </row>
    <row r="164" spans="1:28" ht="21">
      <c r="A164" s="15" t="str">
        <f>$A$3</f>
        <v>MISSION &amp; SERVICE BUDGET APPORTIONMENT 2022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76"/>
      <c r="T164" s="15"/>
      <c r="U164" s="15"/>
      <c r="V164" s="15"/>
      <c r="W164" s="35"/>
      <c r="X164" s="35"/>
      <c r="Y164" s="35"/>
      <c r="AB164" s="38"/>
    </row>
    <row r="165" spans="1:28" ht="2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76"/>
      <c r="T165" s="15"/>
      <c r="U165" s="15"/>
      <c r="V165" s="15"/>
      <c r="W165" s="35"/>
      <c r="X165" s="35"/>
      <c r="Y165" s="35"/>
      <c r="AB165" s="38"/>
    </row>
    <row r="166" spans="1:28" ht="21">
      <c r="A166" s="15" t="s">
        <v>240</v>
      </c>
      <c r="B166" s="15" t="s">
        <v>2</v>
      </c>
      <c r="C166" s="15" t="str">
        <f>$D$5</f>
        <v>2020 expenses</v>
      </c>
      <c r="D166" s="15"/>
      <c r="E166" s="15"/>
      <c r="F166" s="15" t="s">
        <v>2</v>
      </c>
      <c r="G166" s="19" t="s">
        <v>3</v>
      </c>
      <c r="H166" s="19" t="s">
        <v>3</v>
      </c>
      <c r="I166" s="19" t="s">
        <v>3</v>
      </c>
      <c r="J166" s="18" t="s">
        <v>4</v>
      </c>
      <c r="K166" s="19" t="s">
        <v>3</v>
      </c>
      <c r="L166" s="19" t="s">
        <v>3</v>
      </c>
      <c r="M166" s="15" t="s">
        <v>2</v>
      </c>
      <c r="N166" s="15" t="s">
        <v>5</v>
      </c>
      <c r="O166" s="15"/>
      <c r="P166" s="15" t="s">
        <v>2</v>
      </c>
      <c r="Q166" s="18" t="s">
        <v>6</v>
      </c>
      <c r="R166" s="15" t="s">
        <v>2</v>
      </c>
      <c r="S166" s="76" t="str">
        <f>+S119</f>
        <v>------------------------</v>
      </c>
      <c r="T166" s="18" t="str">
        <f>+T119</f>
        <v>APPORTIONMENT</v>
      </c>
      <c r="U166" s="15" t="str">
        <f>+U119</f>
        <v>---------------------</v>
      </c>
      <c r="V166" s="15" t="s">
        <v>2</v>
      </c>
      <c r="W166" s="35"/>
      <c r="X166" s="35"/>
      <c r="Y166" s="35"/>
      <c r="AB166" s="38"/>
    </row>
    <row r="167" spans="1:28" ht="21">
      <c r="A167" s="15"/>
      <c r="B167" s="15" t="s">
        <v>2</v>
      </c>
      <c r="C167" s="15"/>
      <c r="D167" s="15"/>
      <c r="E167" s="15"/>
      <c r="F167" s="15" t="s">
        <v>2</v>
      </c>
      <c r="G167" s="15"/>
      <c r="H167" s="15"/>
      <c r="I167" s="15"/>
      <c r="J167" s="15"/>
      <c r="K167" s="15"/>
      <c r="L167" s="15"/>
      <c r="M167" s="15" t="s">
        <v>2</v>
      </c>
      <c r="N167" s="15"/>
      <c r="O167" s="20" t="s">
        <v>8</v>
      </c>
      <c r="P167" s="15" t="s">
        <v>2</v>
      </c>
      <c r="Q167" s="15"/>
      <c r="R167" s="15" t="s">
        <v>2</v>
      </c>
      <c r="S167" s="76"/>
      <c r="T167" s="15"/>
      <c r="U167" s="15"/>
      <c r="V167" s="15" t="s">
        <v>2</v>
      </c>
      <c r="W167" s="35"/>
      <c r="X167" s="35"/>
      <c r="Y167" s="35"/>
      <c r="AB167" s="38"/>
    </row>
    <row r="168" spans="1:28" ht="21">
      <c r="A168" s="15"/>
      <c r="B168" s="15" t="s">
        <v>2</v>
      </c>
      <c r="C168" s="15"/>
      <c r="D168" s="15"/>
      <c r="E168" s="18" t="s">
        <v>9</v>
      </c>
      <c r="F168" s="15" t="s">
        <v>2</v>
      </c>
      <c r="G168" s="15"/>
      <c r="H168" s="15"/>
      <c r="I168" s="15"/>
      <c r="J168" s="20" t="s">
        <v>10</v>
      </c>
      <c r="K168" s="20" t="s">
        <v>11</v>
      </c>
      <c r="L168" s="15"/>
      <c r="M168" s="15" t="s">
        <v>2</v>
      </c>
      <c r="N168" s="15"/>
      <c r="O168" s="20" t="s">
        <v>12</v>
      </c>
      <c r="P168" s="15" t="s">
        <v>2</v>
      </c>
      <c r="Q168" s="18" t="s">
        <v>13</v>
      </c>
      <c r="R168" s="15" t="s">
        <v>2</v>
      </c>
      <c r="S168" s="76"/>
      <c r="U168" s="15"/>
      <c r="V168" s="15" t="s">
        <v>2</v>
      </c>
      <c r="W168" s="35"/>
      <c r="X168" s="35"/>
      <c r="Y168" s="35"/>
      <c r="AB168" s="38"/>
    </row>
    <row r="169" spans="1:28" ht="21">
      <c r="A169" s="15"/>
      <c r="B169" s="15" t="s">
        <v>2</v>
      </c>
      <c r="C169" s="15"/>
      <c r="D169" s="18" t="s">
        <v>14</v>
      </c>
      <c r="E169" s="18" t="s">
        <v>15</v>
      </c>
      <c r="F169" s="15" t="s">
        <v>2</v>
      </c>
      <c r="G169" s="20" t="s">
        <v>215</v>
      </c>
      <c r="H169" s="20" t="s">
        <v>16</v>
      </c>
      <c r="I169" s="20" t="s">
        <v>17</v>
      </c>
      <c r="J169" s="20" t="s">
        <v>18</v>
      </c>
      <c r="K169" s="20" t="s">
        <v>19</v>
      </c>
      <c r="L169" s="20" t="s">
        <v>9</v>
      </c>
      <c r="M169" s="15" t="s">
        <v>2</v>
      </c>
      <c r="N169" s="20" t="s">
        <v>20</v>
      </c>
      <c r="O169" s="20" t="s">
        <v>21</v>
      </c>
      <c r="P169" s="15" t="s">
        <v>2</v>
      </c>
      <c r="Q169" s="20" t="s">
        <v>22</v>
      </c>
      <c r="R169" s="15" t="s">
        <v>2</v>
      </c>
      <c r="S169" s="76"/>
      <c r="T169" s="9" t="s">
        <v>23</v>
      </c>
      <c r="U169" s="15"/>
      <c r="V169" s="15" t="s">
        <v>2</v>
      </c>
      <c r="W169" s="35"/>
      <c r="X169" s="35"/>
      <c r="Y169" s="35"/>
      <c r="AB169" s="38"/>
    </row>
    <row r="170" spans="1:45" ht="22.5">
      <c r="A170" s="15"/>
      <c r="B170" s="15" t="s">
        <v>2</v>
      </c>
      <c r="C170" s="18" t="s">
        <v>15</v>
      </c>
      <c r="D170" s="18" t="s">
        <v>25</v>
      </c>
      <c r="E170" s="18" t="s">
        <v>14</v>
      </c>
      <c r="F170" s="15" t="s">
        <v>2</v>
      </c>
      <c r="G170" s="20" t="s">
        <v>216</v>
      </c>
      <c r="H170" s="20" t="s">
        <v>26</v>
      </c>
      <c r="I170" s="20" t="s">
        <v>16</v>
      </c>
      <c r="J170" s="20" t="s">
        <v>27</v>
      </c>
      <c r="K170" s="20" t="s">
        <v>28</v>
      </c>
      <c r="L170" s="20" t="s">
        <v>29</v>
      </c>
      <c r="M170" s="15" t="s">
        <v>2</v>
      </c>
      <c r="N170" s="20" t="s">
        <v>15</v>
      </c>
      <c r="O170" s="20" t="s">
        <v>30</v>
      </c>
      <c r="P170" s="15" t="s">
        <v>2</v>
      </c>
      <c r="Q170" s="20" t="s">
        <v>12</v>
      </c>
      <c r="R170" s="15" t="s">
        <v>2</v>
      </c>
      <c r="T170" s="18" t="str">
        <f>+T123</f>
        <v>Extra</v>
      </c>
      <c r="U170" s="20" t="s">
        <v>31</v>
      </c>
      <c r="V170" s="15" t="s">
        <v>2</v>
      </c>
      <c r="W170" s="35"/>
      <c r="X170" s="35"/>
      <c r="Y170" s="35"/>
      <c r="AB170" s="38"/>
      <c r="AK170" s="60" t="s">
        <v>513</v>
      </c>
      <c r="AS170" s="60" t="s">
        <v>505</v>
      </c>
    </row>
    <row r="171" spans="1:28" ht="21">
      <c r="A171" s="15"/>
      <c r="B171" s="15" t="s">
        <v>2</v>
      </c>
      <c r="C171" s="18" t="s">
        <v>14</v>
      </c>
      <c r="D171" s="18" t="s">
        <v>33</v>
      </c>
      <c r="E171" s="18" t="s">
        <v>34</v>
      </c>
      <c r="F171" s="15" t="s">
        <v>2</v>
      </c>
      <c r="G171" s="20" t="s">
        <v>35</v>
      </c>
      <c r="H171" s="20" t="s">
        <v>36</v>
      </c>
      <c r="I171" s="20" t="s">
        <v>37</v>
      </c>
      <c r="J171" s="20" t="s">
        <v>38</v>
      </c>
      <c r="K171" s="20" t="s">
        <v>39</v>
      </c>
      <c r="L171" s="20" t="s">
        <v>40</v>
      </c>
      <c r="M171" s="15" t="s">
        <v>2</v>
      </c>
      <c r="N171" s="20" t="s">
        <v>14</v>
      </c>
      <c r="O171" s="20" t="s">
        <v>41</v>
      </c>
      <c r="P171" s="15" t="s">
        <v>2</v>
      </c>
      <c r="Q171" s="22">
        <f>Q10</f>
        <v>0.25577674211452567</v>
      </c>
      <c r="R171" s="15" t="s">
        <v>2</v>
      </c>
      <c r="S171" s="80" t="str">
        <f>+S124</f>
        <v>Apportionment</v>
      </c>
      <c r="T171" s="18" t="str">
        <f>+T124</f>
        <v>Mile</v>
      </c>
      <c r="U171" s="20" t="s">
        <v>42</v>
      </c>
      <c r="V171" s="15" t="s">
        <v>2</v>
      </c>
      <c r="W171" s="35"/>
      <c r="X171" s="35"/>
      <c r="Y171" s="35"/>
      <c r="AB171" s="38"/>
    </row>
    <row r="172" spans="1:65" ht="101.25" thickBot="1">
      <c r="A172" s="19" t="s">
        <v>3</v>
      </c>
      <c r="B172" s="15"/>
      <c r="C172" s="19" t="s">
        <v>3</v>
      </c>
      <c r="D172" s="19" t="s">
        <v>3</v>
      </c>
      <c r="E172" s="19" t="s">
        <v>3</v>
      </c>
      <c r="F172" s="15"/>
      <c r="G172" s="19" t="s">
        <v>3</v>
      </c>
      <c r="H172" s="19" t="s">
        <v>3</v>
      </c>
      <c r="I172" s="19" t="s">
        <v>3</v>
      </c>
      <c r="J172" s="19" t="s">
        <v>3</v>
      </c>
      <c r="K172" s="19" t="s">
        <v>3</v>
      </c>
      <c r="L172" s="19" t="s">
        <v>3</v>
      </c>
      <c r="M172" s="15"/>
      <c r="N172" s="19" t="s">
        <v>3</v>
      </c>
      <c r="O172" s="19" t="s">
        <v>3</v>
      </c>
      <c r="P172" s="15"/>
      <c r="Q172" s="19" t="s">
        <v>3</v>
      </c>
      <c r="R172" s="15"/>
      <c r="S172" s="78" t="s">
        <v>3</v>
      </c>
      <c r="T172" s="19" t="s">
        <v>3</v>
      </c>
      <c r="U172" s="19" t="s">
        <v>3</v>
      </c>
      <c r="V172" s="15"/>
      <c r="W172" s="35"/>
      <c r="X172" s="69" t="s">
        <v>577</v>
      </c>
      <c r="Y172" s="69" t="s">
        <v>508</v>
      </c>
      <c r="Z172" s="24">
        <v>2020</v>
      </c>
      <c r="AA172" s="24">
        <v>2019</v>
      </c>
      <c r="AB172" s="24">
        <v>2018</v>
      </c>
      <c r="AC172" s="25" t="s">
        <v>394</v>
      </c>
      <c r="AD172" s="26"/>
      <c r="AK172" s="27" t="s">
        <v>379</v>
      </c>
      <c r="AL172" s="27" t="s">
        <v>380</v>
      </c>
      <c r="AM172" s="27" t="s">
        <v>381</v>
      </c>
      <c r="AN172" s="27" t="s">
        <v>382</v>
      </c>
      <c r="AO172" s="27" t="s">
        <v>383</v>
      </c>
      <c r="AS172" s="27" t="s">
        <v>379</v>
      </c>
      <c r="AT172" s="27" t="s">
        <v>380</v>
      </c>
      <c r="AU172" s="27" t="s">
        <v>381</v>
      </c>
      <c r="AV172" s="27" t="s">
        <v>382</v>
      </c>
      <c r="AW172" s="27" t="s">
        <v>383</v>
      </c>
      <c r="BI172" s="27" t="s">
        <v>379</v>
      </c>
      <c r="BJ172" s="27" t="s">
        <v>380</v>
      </c>
      <c r="BK172" s="27" t="s">
        <v>381</v>
      </c>
      <c r="BL172" s="27" t="s">
        <v>382</v>
      </c>
      <c r="BM172" s="27" t="s">
        <v>383</v>
      </c>
    </row>
    <row r="173" spans="1:65" ht="21">
      <c r="A173" s="15" t="s">
        <v>110</v>
      </c>
      <c r="B173" s="28"/>
      <c r="C173" s="29">
        <f aca="true" t="shared" si="60" ref="C173:C188">AK173</f>
        <v>51992.06</v>
      </c>
      <c r="D173" s="21">
        <f aca="true" t="shared" si="61" ref="D173:D188">AL173</f>
        <v>0</v>
      </c>
      <c r="E173" s="15">
        <f>D173+C173</f>
        <v>51992.06</v>
      </c>
      <c r="F173" s="15"/>
      <c r="G173" s="15">
        <f aca="true" t="shared" si="62" ref="G173:G188">AM173</f>
        <v>0</v>
      </c>
      <c r="H173" s="21">
        <f aca="true" t="shared" si="63" ref="H173:H188">AN173</f>
        <v>8750.04</v>
      </c>
      <c r="I173" s="15">
        <f aca="true" t="shared" si="64" ref="I173:I188">H173*0.5</f>
        <v>4375.02</v>
      </c>
      <c r="J173" s="21">
        <f aca="true" t="shared" si="65" ref="J173:J188">AO173</f>
        <v>0</v>
      </c>
      <c r="K173" s="15">
        <f>J173*0.25</f>
        <v>0</v>
      </c>
      <c r="L173" s="15">
        <f>+G173+I173+K173</f>
        <v>4375.02</v>
      </c>
      <c r="M173" s="15"/>
      <c r="N173" s="15">
        <f>E173-L173</f>
        <v>47617.03999999999</v>
      </c>
      <c r="O173" s="15">
        <f aca="true" t="shared" si="66" ref="O173:O182">IF(N173&gt;=4000,(N173-4000)*0.9+2200,IF(N173&gt;=3000,(N173-3000)*0.8+1400,IF(N173&gt;=2000,(N173-2000)*0.6+800,IF(N173&gt;0,N173*0.4,0))))</f>
        <v>41455.335999999996</v>
      </c>
      <c r="P173" s="15"/>
      <c r="Q173" s="30" t="s">
        <v>44</v>
      </c>
      <c r="R173" s="15"/>
      <c r="S173" s="76">
        <f aca="true" t="shared" si="67" ref="S173:S182">ROUND(SUM(O173*$Q$10),0)</f>
        <v>10603</v>
      </c>
      <c r="T173" s="15">
        <f aca="true" t="shared" si="68" ref="T173:T182">ROUND(SUM(S173*0.1),0)</f>
        <v>1060</v>
      </c>
      <c r="U173" s="15">
        <f aca="true" t="shared" si="69" ref="U173:U182">SUM(S173:T173)</f>
        <v>11663</v>
      </c>
      <c r="V173" s="15"/>
      <c r="W173" s="15" t="s">
        <v>110</v>
      </c>
      <c r="X173" s="15">
        <f>S173</f>
        <v>10603</v>
      </c>
      <c r="Y173" s="15">
        <v>12912</v>
      </c>
      <c r="Z173" s="35">
        <v>14297</v>
      </c>
      <c r="AA173" s="35">
        <v>13484</v>
      </c>
      <c r="AB173" s="31">
        <v>13199</v>
      </c>
      <c r="AC173" s="15">
        <f>Z173-AA173</f>
        <v>813</v>
      </c>
      <c r="AE173" s="3">
        <v>1</v>
      </c>
      <c r="AF173" s="3" t="s">
        <v>110</v>
      </c>
      <c r="AG173" s="3">
        <v>13484</v>
      </c>
      <c r="AJ173" s="81" t="s">
        <v>436</v>
      </c>
      <c r="AK173" s="85">
        <v>51992.06</v>
      </c>
      <c r="AL173" s="81">
        <v>0</v>
      </c>
      <c r="AM173" s="81">
        <v>0</v>
      </c>
      <c r="AN173" s="81">
        <v>8750.04</v>
      </c>
      <c r="AO173" s="81">
        <v>0</v>
      </c>
      <c r="AR173" s="32" t="s">
        <v>368</v>
      </c>
      <c r="AS173" s="57">
        <v>66707</v>
      </c>
      <c r="AT173" s="57">
        <v>0</v>
      </c>
      <c r="AU173" s="57">
        <v>0</v>
      </c>
      <c r="AV173" s="57">
        <v>9980</v>
      </c>
      <c r="AW173" s="57">
        <v>0</v>
      </c>
      <c r="AZ173" s="32" t="s">
        <v>436</v>
      </c>
      <c r="BA173" s="57">
        <v>66707</v>
      </c>
      <c r="BB173" s="57">
        <v>0</v>
      </c>
      <c r="BC173" s="57">
        <v>0</v>
      </c>
      <c r="BD173" s="57">
        <v>9980</v>
      </c>
      <c r="BE173" s="57">
        <v>0</v>
      </c>
      <c r="BH173" s="32" t="s">
        <v>368</v>
      </c>
      <c r="BI173" s="33">
        <v>71292.95</v>
      </c>
      <c r="BJ173" s="33">
        <v>0</v>
      </c>
      <c r="BK173" s="33">
        <v>0</v>
      </c>
      <c r="BL173" s="33">
        <v>11944.2</v>
      </c>
      <c r="BM173" s="33">
        <v>0</v>
      </c>
    </row>
    <row r="174" spans="1:57" ht="21">
      <c r="A174" s="41" t="s">
        <v>241</v>
      </c>
      <c r="B174" s="28"/>
      <c r="C174" s="29">
        <f t="shared" si="60"/>
        <v>0</v>
      </c>
      <c r="D174" s="21">
        <f t="shared" si="61"/>
        <v>0</v>
      </c>
      <c r="E174" s="15">
        <f aca="true" t="shared" si="70" ref="E174:E188">D174+C174</f>
        <v>0</v>
      </c>
      <c r="F174" s="15"/>
      <c r="G174" s="15">
        <f t="shared" si="62"/>
        <v>0</v>
      </c>
      <c r="H174" s="21">
        <f t="shared" si="63"/>
        <v>0</v>
      </c>
      <c r="I174" s="15">
        <f t="shared" si="64"/>
        <v>0</v>
      </c>
      <c r="J174" s="21">
        <f t="shared" si="65"/>
        <v>0</v>
      </c>
      <c r="K174" s="15"/>
      <c r="L174" s="15"/>
      <c r="M174" s="15"/>
      <c r="N174" s="15"/>
      <c r="O174" s="15"/>
      <c r="P174" s="15"/>
      <c r="Q174" s="30"/>
      <c r="R174" s="15"/>
      <c r="S174" s="76"/>
      <c r="T174" s="15"/>
      <c r="U174" s="15"/>
      <c r="V174" s="15"/>
      <c r="W174" s="41" t="s">
        <v>241</v>
      </c>
      <c r="X174" s="41"/>
      <c r="Y174" s="41"/>
      <c r="Z174" s="35"/>
      <c r="AA174" s="35"/>
      <c r="AB174" s="31"/>
      <c r="AC174" s="15">
        <f aca="true" t="shared" si="71" ref="AC174:AC190">Z174-AA174</f>
        <v>0</v>
      </c>
      <c r="AF174" s="3" t="s">
        <v>241</v>
      </c>
      <c r="AJ174" s="81"/>
      <c r="AK174" s="84"/>
      <c r="AL174" s="84"/>
      <c r="AM174" s="84"/>
      <c r="AN174" s="84"/>
      <c r="AO174" s="81"/>
      <c r="AS174" s="57"/>
      <c r="AT174" s="57"/>
      <c r="AU174" s="57"/>
      <c r="AV174" s="57"/>
      <c r="AW174" s="57"/>
      <c r="AZ174" s="32"/>
      <c r="BA174" s="57"/>
      <c r="BB174" s="57"/>
      <c r="BC174" s="57"/>
      <c r="BD174" s="57"/>
      <c r="BE174" s="57"/>
    </row>
    <row r="175" spans="1:65" ht="21">
      <c r="A175" s="15" t="s">
        <v>111</v>
      </c>
      <c r="B175" s="28"/>
      <c r="C175" s="29">
        <f t="shared" si="60"/>
        <v>32227</v>
      </c>
      <c r="D175" s="21">
        <f t="shared" si="61"/>
        <v>0</v>
      </c>
      <c r="E175" s="15">
        <f t="shared" si="70"/>
        <v>32227</v>
      </c>
      <c r="F175" s="15"/>
      <c r="G175" s="15">
        <f t="shared" si="62"/>
        <v>0</v>
      </c>
      <c r="H175" s="21">
        <f t="shared" si="63"/>
        <v>5736</v>
      </c>
      <c r="I175" s="15">
        <f t="shared" si="64"/>
        <v>2868</v>
      </c>
      <c r="J175" s="21">
        <f t="shared" si="65"/>
        <v>0</v>
      </c>
      <c r="K175" s="15">
        <f aca="true" t="shared" si="72" ref="K175:K182">J175*0.25</f>
        <v>0</v>
      </c>
      <c r="L175" s="15">
        <f aca="true" t="shared" si="73" ref="L175:L182">+G175+I175+K175</f>
        <v>2868</v>
      </c>
      <c r="M175" s="15"/>
      <c r="N175" s="15">
        <f aca="true" t="shared" si="74" ref="N175:N182">E175-L175</f>
        <v>29359</v>
      </c>
      <c r="O175" s="15">
        <f t="shared" si="66"/>
        <v>25023.100000000002</v>
      </c>
      <c r="P175" s="15"/>
      <c r="Q175" s="30" t="s">
        <v>44</v>
      </c>
      <c r="R175" s="15"/>
      <c r="S175" s="76">
        <f t="shared" si="67"/>
        <v>6400</v>
      </c>
      <c r="T175" s="15">
        <f t="shared" si="68"/>
        <v>640</v>
      </c>
      <c r="U175" s="15">
        <f t="shared" si="69"/>
        <v>7040</v>
      </c>
      <c r="V175" s="15"/>
      <c r="W175" s="15" t="s">
        <v>111</v>
      </c>
      <c r="X175" s="15">
        <f aca="true" t="shared" si="75" ref="X175:X188">S175</f>
        <v>6400</v>
      </c>
      <c r="Y175" s="15">
        <v>6365</v>
      </c>
      <c r="Z175" s="35">
        <v>6264</v>
      </c>
      <c r="AA175" s="35">
        <v>3924</v>
      </c>
      <c r="AB175" s="31">
        <v>3474</v>
      </c>
      <c r="AC175" s="15">
        <f t="shared" si="71"/>
        <v>2340</v>
      </c>
      <c r="AE175" s="3">
        <v>1</v>
      </c>
      <c r="AF175" s="3" t="s">
        <v>111</v>
      </c>
      <c r="AG175" s="3">
        <v>3924</v>
      </c>
      <c r="AJ175" s="81" t="s">
        <v>369</v>
      </c>
      <c r="AK175" s="84">
        <v>32227</v>
      </c>
      <c r="AL175" s="81">
        <v>0</v>
      </c>
      <c r="AM175" s="81">
        <v>0</v>
      </c>
      <c r="AN175" s="84">
        <v>5736</v>
      </c>
      <c r="AO175" s="81">
        <v>0</v>
      </c>
      <c r="AR175" s="32" t="s">
        <v>369</v>
      </c>
      <c r="AS175" s="57">
        <v>33676.34</v>
      </c>
      <c r="AT175" s="57">
        <v>0</v>
      </c>
      <c r="AU175" s="57">
        <v>0</v>
      </c>
      <c r="AV175" s="57">
        <v>4932.6</v>
      </c>
      <c r="AW175" s="57">
        <v>0</v>
      </c>
      <c r="AZ175" s="32" t="s">
        <v>439</v>
      </c>
      <c r="BA175" s="57">
        <v>33676.34</v>
      </c>
      <c r="BB175" s="57">
        <v>0</v>
      </c>
      <c r="BC175" s="57">
        <v>0</v>
      </c>
      <c r="BD175" s="57">
        <v>4932.6</v>
      </c>
      <c r="BE175" s="57">
        <v>0</v>
      </c>
      <c r="BH175" s="32" t="s">
        <v>369</v>
      </c>
      <c r="BI175" s="33">
        <v>31455.96</v>
      </c>
      <c r="BJ175" s="33">
        <v>0</v>
      </c>
      <c r="BK175" s="33">
        <v>0</v>
      </c>
      <c r="BL175" s="33">
        <v>3921.32</v>
      </c>
      <c r="BM175" s="33">
        <v>0</v>
      </c>
    </row>
    <row r="176" spans="1:65" ht="21">
      <c r="A176" s="15" t="s">
        <v>195</v>
      </c>
      <c r="B176" s="28"/>
      <c r="C176" s="29">
        <f t="shared" si="60"/>
        <v>35463</v>
      </c>
      <c r="D176" s="21">
        <f t="shared" si="61"/>
        <v>0</v>
      </c>
      <c r="E176" s="15">
        <f t="shared" si="70"/>
        <v>35463</v>
      </c>
      <c r="F176" s="15"/>
      <c r="G176" s="15">
        <f t="shared" si="62"/>
        <v>0</v>
      </c>
      <c r="H176" s="21">
        <f t="shared" si="63"/>
        <v>6028</v>
      </c>
      <c r="I176" s="15">
        <f t="shared" si="64"/>
        <v>3014</v>
      </c>
      <c r="J176" s="21">
        <f t="shared" si="65"/>
        <v>0</v>
      </c>
      <c r="K176" s="15">
        <f t="shared" si="72"/>
        <v>0</v>
      </c>
      <c r="L176" s="15">
        <f t="shared" si="73"/>
        <v>3014</v>
      </c>
      <c r="M176" s="15"/>
      <c r="N176" s="15">
        <f t="shared" si="74"/>
        <v>32449</v>
      </c>
      <c r="O176" s="15">
        <f t="shared" si="66"/>
        <v>27804.100000000002</v>
      </c>
      <c r="P176" s="15"/>
      <c r="Q176" s="30" t="s">
        <v>44</v>
      </c>
      <c r="R176" s="15"/>
      <c r="S176" s="76">
        <f t="shared" si="67"/>
        <v>7112</v>
      </c>
      <c r="T176" s="15">
        <f t="shared" si="68"/>
        <v>711</v>
      </c>
      <c r="U176" s="15">
        <f t="shared" si="69"/>
        <v>7823</v>
      </c>
      <c r="V176" s="15"/>
      <c r="W176" s="15" t="s">
        <v>195</v>
      </c>
      <c r="X176" s="15">
        <f t="shared" si="75"/>
        <v>7112</v>
      </c>
      <c r="Y176" s="15">
        <v>8287</v>
      </c>
      <c r="Z176" s="35">
        <v>7488</v>
      </c>
      <c r="AA176" s="35">
        <v>4655</v>
      </c>
      <c r="AB176" s="31">
        <v>4574</v>
      </c>
      <c r="AC176" s="15">
        <f t="shared" si="71"/>
        <v>2833</v>
      </c>
      <c r="AE176" s="3">
        <v>1</v>
      </c>
      <c r="AF176" s="3" t="s">
        <v>195</v>
      </c>
      <c r="AG176" s="3">
        <v>4655</v>
      </c>
      <c r="AJ176" s="81" t="s">
        <v>438</v>
      </c>
      <c r="AK176" s="81">
        <v>35463</v>
      </c>
      <c r="AL176" s="81">
        <v>0</v>
      </c>
      <c r="AM176" s="81">
        <v>0</v>
      </c>
      <c r="AN176" s="81">
        <v>6028</v>
      </c>
      <c r="AO176" s="81">
        <v>0</v>
      </c>
      <c r="AR176" s="32" t="s">
        <v>372</v>
      </c>
      <c r="AS176" s="57">
        <v>43457</v>
      </c>
      <c r="AT176" s="57">
        <v>0</v>
      </c>
      <c r="AU176" s="57">
        <v>0</v>
      </c>
      <c r="AV176" s="57">
        <v>6576</v>
      </c>
      <c r="AW176" s="57">
        <v>0</v>
      </c>
      <c r="AZ176" s="32" t="s">
        <v>438</v>
      </c>
      <c r="BA176" s="57">
        <v>43457</v>
      </c>
      <c r="BB176" s="57">
        <v>0</v>
      </c>
      <c r="BC176" s="57">
        <v>0</v>
      </c>
      <c r="BD176" s="57">
        <v>6576</v>
      </c>
      <c r="BE176" s="57">
        <v>0</v>
      </c>
      <c r="BH176" s="32" t="s">
        <v>372</v>
      </c>
      <c r="BI176" s="33">
        <v>36913</v>
      </c>
      <c r="BJ176" s="33">
        <v>0</v>
      </c>
      <c r="BK176" s="33">
        <v>0</v>
      </c>
      <c r="BL176" s="33">
        <v>3921</v>
      </c>
      <c r="BM176" s="33">
        <v>0</v>
      </c>
    </row>
    <row r="177" spans="1:65" ht="21">
      <c r="A177" s="15" t="s">
        <v>114</v>
      </c>
      <c r="B177" s="28"/>
      <c r="C177" s="29">
        <f t="shared" si="60"/>
        <v>40194</v>
      </c>
      <c r="D177" s="21">
        <f t="shared" si="61"/>
        <v>0</v>
      </c>
      <c r="E177" s="15">
        <f t="shared" si="70"/>
        <v>40194</v>
      </c>
      <c r="F177" s="15"/>
      <c r="G177" s="15">
        <f t="shared" si="62"/>
        <v>0</v>
      </c>
      <c r="H177" s="21">
        <f t="shared" si="63"/>
        <v>5736</v>
      </c>
      <c r="I177" s="15">
        <f t="shared" si="64"/>
        <v>2868</v>
      </c>
      <c r="J177" s="21">
        <f t="shared" si="65"/>
        <v>9827</v>
      </c>
      <c r="K177" s="15">
        <f t="shared" si="72"/>
        <v>2456.75</v>
      </c>
      <c r="L177" s="15">
        <f t="shared" si="73"/>
        <v>5324.75</v>
      </c>
      <c r="M177" s="15"/>
      <c r="N177" s="15">
        <f t="shared" si="74"/>
        <v>34869.25</v>
      </c>
      <c r="O177" s="15">
        <f>IF(N177&gt;=4000,(N177-4000)*0.9+2200,IF(N177&gt;=3000,(N177-3000)*0.8+1400,IF(N177&gt;=2000,(N177-2000)*0.6+800,IF(N177&gt;0,N177*0.4,0))))</f>
        <v>29982.325</v>
      </c>
      <c r="P177" s="15"/>
      <c r="Q177" s="30" t="s">
        <v>44</v>
      </c>
      <c r="R177" s="15"/>
      <c r="S177" s="76">
        <f>ROUND(SUM(O177*$Q$10),0)</f>
        <v>7669</v>
      </c>
      <c r="T177" s="15">
        <f>ROUND(SUM(S177*0.1),0)</f>
        <v>767</v>
      </c>
      <c r="U177" s="15">
        <f>SUM(S177:T177)</f>
        <v>8436</v>
      </c>
      <c r="V177" s="15"/>
      <c r="W177" s="15" t="s">
        <v>114</v>
      </c>
      <c r="X177" s="15">
        <f t="shared" si="75"/>
        <v>7669</v>
      </c>
      <c r="Y177" s="15">
        <v>9043</v>
      </c>
      <c r="Z177" s="35">
        <v>8703</v>
      </c>
      <c r="AA177" s="35">
        <v>5620</v>
      </c>
      <c r="AB177" s="31">
        <v>5404</v>
      </c>
      <c r="AC177" s="15">
        <f t="shared" si="71"/>
        <v>3083</v>
      </c>
      <c r="AE177" s="3">
        <v>1</v>
      </c>
      <c r="AF177" s="3" t="s">
        <v>114</v>
      </c>
      <c r="AG177" s="3">
        <v>5620</v>
      </c>
      <c r="AJ177" s="81" t="s">
        <v>539</v>
      </c>
      <c r="AK177" s="83">
        <v>40194</v>
      </c>
      <c r="AL177" s="81">
        <v>0</v>
      </c>
      <c r="AM177" s="81">
        <v>0</v>
      </c>
      <c r="AN177" s="83">
        <v>5736</v>
      </c>
      <c r="AO177" s="81">
        <v>9827</v>
      </c>
      <c r="AR177" s="32" t="s">
        <v>374</v>
      </c>
      <c r="AS177" s="57">
        <v>44238</v>
      </c>
      <c r="AT177" s="57">
        <v>0</v>
      </c>
      <c r="AU177" s="57">
        <v>0</v>
      </c>
      <c r="AV177" s="57">
        <v>0</v>
      </c>
      <c r="AW177" s="57">
        <v>2203</v>
      </c>
      <c r="AZ177" s="32" t="s">
        <v>440</v>
      </c>
      <c r="BA177" s="57">
        <v>44238</v>
      </c>
      <c r="BB177" s="57">
        <v>0</v>
      </c>
      <c r="BC177" s="57">
        <v>0</v>
      </c>
      <c r="BD177" s="57">
        <v>0</v>
      </c>
      <c r="BE177" s="57">
        <v>2203</v>
      </c>
      <c r="BH177" s="32" t="s">
        <v>374</v>
      </c>
      <c r="BI177" s="33">
        <v>42883</v>
      </c>
      <c r="BJ177" s="33">
        <v>0</v>
      </c>
      <c r="BK177" s="33">
        <v>0</v>
      </c>
      <c r="BL177" s="33">
        <v>3922</v>
      </c>
      <c r="BM177" s="33">
        <v>2203</v>
      </c>
    </row>
    <row r="178" spans="1:65" ht="21">
      <c r="A178" s="15" t="s">
        <v>398</v>
      </c>
      <c r="B178" s="28"/>
      <c r="C178" s="29">
        <f t="shared" si="60"/>
        <v>66111</v>
      </c>
      <c r="D178" s="21">
        <f t="shared" si="61"/>
        <v>152</v>
      </c>
      <c r="E178" s="15">
        <f t="shared" si="70"/>
        <v>66263</v>
      </c>
      <c r="F178" s="15"/>
      <c r="G178" s="15" t="str">
        <f t="shared" si="62"/>
        <v>00</v>
      </c>
      <c r="H178" s="21">
        <f t="shared" si="63"/>
        <v>8750</v>
      </c>
      <c r="I178" s="15">
        <f t="shared" si="64"/>
        <v>4375</v>
      </c>
      <c r="J178" s="21" t="str">
        <f t="shared" si="65"/>
        <v>00</v>
      </c>
      <c r="K178" s="15">
        <f t="shared" si="72"/>
        <v>0</v>
      </c>
      <c r="L178" s="15">
        <f t="shared" si="73"/>
        <v>4375</v>
      </c>
      <c r="M178" s="15"/>
      <c r="N178" s="15">
        <f t="shared" si="74"/>
        <v>61888</v>
      </c>
      <c r="O178" s="15">
        <f t="shared" si="66"/>
        <v>54299.200000000004</v>
      </c>
      <c r="P178" s="15"/>
      <c r="Q178" s="30" t="s">
        <v>44</v>
      </c>
      <c r="R178" s="15"/>
      <c r="S178" s="76">
        <f t="shared" si="67"/>
        <v>13888</v>
      </c>
      <c r="T178" s="15">
        <f t="shared" si="68"/>
        <v>1389</v>
      </c>
      <c r="U178" s="15">
        <f t="shared" si="69"/>
        <v>15277</v>
      </c>
      <c r="V178" s="15"/>
      <c r="W178" s="15" t="s">
        <v>196</v>
      </c>
      <c r="X178" s="15">
        <f t="shared" si="75"/>
        <v>13888</v>
      </c>
      <c r="Y178" s="15">
        <v>9285</v>
      </c>
      <c r="Z178" s="35">
        <v>13662</v>
      </c>
      <c r="AA178" s="35">
        <v>9806</v>
      </c>
      <c r="AB178" s="31">
        <v>8923</v>
      </c>
      <c r="AC178" s="15">
        <f t="shared" si="71"/>
        <v>3856</v>
      </c>
      <c r="AE178" s="3">
        <v>1</v>
      </c>
      <c r="AF178" s="3" t="s">
        <v>196</v>
      </c>
      <c r="AG178" s="3">
        <v>9806</v>
      </c>
      <c r="AJ178" s="81" t="s">
        <v>444</v>
      </c>
      <c r="AK178" s="81">
        <v>66111</v>
      </c>
      <c r="AL178" s="81">
        <v>152</v>
      </c>
      <c r="AM178" s="88" t="s">
        <v>538</v>
      </c>
      <c r="AN178" s="81">
        <v>8750</v>
      </c>
      <c r="AO178" s="88" t="s">
        <v>538</v>
      </c>
      <c r="AR178" s="32" t="s">
        <v>366</v>
      </c>
      <c r="AS178" s="57">
        <v>46065</v>
      </c>
      <c r="AT178" s="57">
        <v>0</v>
      </c>
      <c r="AU178" s="57">
        <v>0</v>
      </c>
      <c r="AV178" s="57">
        <v>2495</v>
      </c>
      <c r="AW178" s="57">
        <v>0</v>
      </c>
      <c r="AZ178" s="32" t="s">
        <v>444</v>
      </c>
      <c r="BA178" s="57">
        <v>46065</v>
      </c>
      <c r="BB178" s="57">
        <v>0</v>
      </c>
      <c r="BC178" s="57">
        <v>0</v>
      </c>
      <c r="BD178" s="57">
        <v>2495</v>
      </c>
      <c r="BE178" s="57">
        <v>0</v>
      </c>
      <c r="BH178" s="32" t="s">
        <v>366</v>
      </c>
      <c r="BI178" s="42">
        <f>41983+22000</f>
        <v>63983</v>
      </c>
      <c r="BJ178" s="33">
        <v>0</v>
      </c>
      <c r="BK178" s="33">
        <v>0</v>
      </c>
      <c r="BL178" s="33">
        <v>2987</v>
      </c>
      <c r="BM178" s="33">
        <v>0</v>
      </c>
    </row>
    <row r="179" spans="1:65" ht="21">
      <c r="A179" s="15" t="s">
        <v>112</v>
      </c>
      <c r="B179" s="28"/>
      <c r="C179" s="29">
        <f t="shared" si="60"/>
        <v>116017</v>
      </c>
      <c r="D179" s="21">
        <f t="shared" si="61"/>
        <v>0</v>
      </c>
      <c r="E179" s="15">
        <f t="shared" si="70"/>
        <v>116017</v>
      </c>
      <c r="F179" s="15"/>
      <c r="G179" s="15">
        <f t="shared" si="62"/>
        <v>0</v>
      </c>
      <c r="H179" s="21">
        <f t="shared" si="63"/>
        <v>11504</v>
      </c>
      <c r="I179" s="15">
        <f t="shared" si="64"/>
        <v>5752</v>
      </c>
      <c r="J179" s="21">
        <f t="shared" si="65"/>
        <v>0</v>
      </c>
      <c r="K179" s="15">
        <f t="shared" si="72"/>
        <v>0</v>
      </c>
      <c r="L179" s="15">
        <f t="shared" si="73"/>
        <v>5752</v>
      </c>
      <c r="M179" s="15"/>
      <c r="N179" s="15">
        <f t="shared" si="74"/>
        <v>110265</v>
      </c>
      <c r="O179" s="15">
        <f t="shared" si="66"/>
        <v>97838.5</v>
      </c>
      <c r="P179" s="15"/>
      <c r="Q179" s="30" t="s">
        <v>44</v>
      </c>
      <c r="R179" s="15"/>
      <c r="S179" s="76">
        <f t="shared" si="67"/>
        <v>25025</v>
      </c>
      <c r="T179" s="15">
        <f t="shared" si="68"/>
        <v>2503</v>
      </c>
      <c r="U179" s="15">
        <f t="shared" si="69"/>
        <v>27528</v>
      </c>
      <c r="V179" s="15"/>
      <c r="W179" s="15" t="s">
        <v>112</v>
      </c>
      <c r="X179" s="15">
        <f t="shared" si="75"/>
        <v>25025</v>
      </c>
      <c r="Y179" s="15">
        <v>23845</v>
      </c>
      <c r="Z179" s="35">
        <v>31542</v>
      </c>
      <c r="AA179" s="15">
        <v>25826</v>
      </c>
      <c r="AB179" s="31">
        <v>23766</v>
      </c>
      <c r="AC179" s="15">
        <f t="shared" si="71"/>
        <v>5716</v>
      </c>
      <c r="AD179" s="1"/>
      <c r="AE179" s="3">
        <v>1</v>
      </c>
      <c r="AF179" s="1" t="s">
        <v>112</v>
      </c>
      <c r="AG179" s="1">
        <v>25826</v>
      </c>
      <c r="AJ179" s="81" t="s">
        <v>378</v>
      </c>
      <c r="AK179" s="83">
        <v>116017</v>
      </c>
      <c r="AL179" s="81">
        <v>0</v>
      </c>
      <c r="AM179" s="81">
        <v>0</v>
      </c>
      <c r="AN179" s="83">
        <v>11504</v>
      </c>
      <c r="AO179" s="81">
        <v>0</v>
      </c>
      <c r="AR179" s="32" t="s">
        <v>378</v>
      </c>
      <c r="AS179" s="57">
        <v>129688</v>
      </c>
      <c r="AT179" s="57">
        <v>4182</v>
      </c>
      <c r="AU179" s="57">
        <v>15575</v>
      </c>
      <c r="AV179" s="57">
        <v>11278</v>
      </c>
      <c r="AW179" s="57">
        <v>0</v>
      </c>
      <c r="AZ179" s="32" t="s">
        <v>378</v>
      </c>
      <c r="BA179" s="57">
        <v>129688</v>
      </c>
      <c r="BB179" s="57">
        <v>4182</v>
      </c>
      <c r="BC179" s="57">
        <v>15575</v>
      </c>
      <c r="BD179" s="57">
        <v>11278</v>
      </c>
      <c r="BE179" s="57">
        <v>0</v>
      </c>
      <c r="BH179" s="32" t="s">
        <v>378</v>
      </c>
      <c r="BI179" s="33">
        <v>146629</v>
      </c>
      <c r="BJ179" s="33">
        <v>0</v>
      </c>
      <c r="BK179" s="33">
        <v>0</v>
      </c>
      <c r="BL179" s="33">
        <v>8785</v>
      </c>
      <c r="BM179" s="33">
        <v>0</v>
      </c>
    </row>
    <row r="180" spans="1:65" ht="21">
      <c r="A180" s="15" t="s">
        <v>197</v>
      </c>
      <c r="B180" s="28"/>
      <c r="C180" s="29">
        <f t="shared" si="60"/>
        <v>97168</v>
      </c>
      <c r="D180" s="21">
        <f t="shared" si="61"/>
        <v>0</v>
      </c>
      <c r="E180" s="15">
        <f t="shared" si="70"/>
        <v>97168</v>
      </c>
      <c r="F180" s="15"/>
      <c r="G180" s="15">
        <f t="shared" si="62"/>
        <v>0</v>
      </c>
      <c r="H180" s="21">
        <f t="shared" si="63"/>
        <v>11504</v>
      </c>
      <c r="I180" s="15">
        <f t="shared" si="64"/>
        <v>5752</v>
      </c>
      <c r="J180" s="21">
        <f t="shared" si="65"/>
        <v>0</v>
      </c>
      <c r="K180" s="15">
        <f t="shared" si="72"/>
        <v>0</v>
      </c>
      <c r="L180" s="15">
        <f t="shared" si="73"/>
        <v>5752</v>
      </c>
      <c r="M180" s="15"/>
      <c r="N180" s="15">
        <f t="shared" si="74"/>
        <v>91416</v>
      </c>
      <c r="O180" s="15">
        <f t="shared" si="66"/>
        <v>80874.40000000001</v>
      </c>
      <c r="P180" s="15"/>
      <c r="Q180" s="30" t="s">
        <v>44</v>
      </c>
      <c r="R180" s="15"/>
      <c r="S180" s="76">
        <f t="shared" si="67"/>
        <v>20686</v>
      </c>
      <c r="T180" s="15">
        <f t="shared" si="68"/>
        <v>2069</v>
      </c>
      <c r="U180" s="15">
        <f t="shared" si="69"/>
        <v>22755</v>
      </c>
      <c r="V180" s="15"/>
      <c r="W180" s="15" t="s">
        <v>197</v>
      </c>
      <c r="X180" s="15">
        <f t="shared" si="75"/>
        <v>20686</v>
      </c>
      <c r="Y180" s="15">
        <v>20047</v>
      </c>
      <c r="Z180" s="35">
        <v>17348</v>
      </c>
      <c r="AA180" s="15">
        <v>19926</v>
      </c>
      <c r="AB180" s="31">
        <v>13466</v>
      </c>
      <c r="AC180" s="15">
        <f t="shared" si="71"/>
        <v>-2578</v>
      </c>
      <c r="AD180" s="1"/>
      <c r="AE180" s="3">
        <v>1</v>
      </c>
      <c r="AF180" s="1" t="s">
        <v>197</v>
      </c>
      <c r="AG180" s="1">
        <v>19926</v>
      </c>
      <c r="AJ180" s="81" t="s">
        <v>537</v>
      </c>
      <c r="AK180" s="82">
        <v>97168</v>
      </c>
      <c r="AL180" s="81">
        <v>0</v>
      </c>
      <c r="AM180" s="81">
        <v>0</v>
      </c>
      <c r="AN180" s="82">
        <v>11504</v>
      </c>
      <c r="AO180" s="81">
        <v>0</v>
      </c>
      <c r="AR180" s="32" t="s">
        <v>370</v>
      </c>
      <c r="AS180" s="57">
        <v>118255</v>
      </c>
      <c r="AT180" s="57">
        <v>0</v>
      </c>
      <c r="AU180" s="57">
        <v>15563</v>
      </c>
      <c r="AV180" s="57">
        <v>15460</v>
      </c>
      <c r="AW180" s="57">
        <v>0</v>
      </c>
      <c r="AZ180" s="32" t="s">
        <v>441</v>
      </c>
      <c r="BA180" s="57">
        <v>118255</v>
      </c>
      <c r="BB180" s="57">
        <v>0</v>
      </c>
      <c r="BC180" s="57">
        <v>15563</v>
      </c>
      <c r="BD180" s="57">
        <v>15460</v>
      </c>
      <c r="BE180" s="57">
        <v>0</v>
      </c>
      <c r="BH180" s="32" t="s">
        <v>370</v>
      </c>
      <c r="BI180" s="33">
        <f>78928.53</f>
        <v>78928.53</v>
      </c>
      <c r="BJ180" s="33">
        <v>0</v>
      </c>
      <c r="BK180" s="33">
        <v>0</v>
      </c>
      <c r="BL180" s="33">
        <v>0</v>
      </c>
      <c r="BM180" s="33">
        <v>0</v>
      </c>
    </row>
    <row r="181" spans="1:65" ht="21.75">
      <c r="A181" s="15" t="s">
        <v>113</v>
      </c>
      <c r="B181" s="34"/>
      <c r="C181" s="29">
        <f t="shared" si="60"/>
        <v>137542</v>
      </c>
      <c r="D181" s="21">
        <f t="shared" si="61"/>
        <v>0</v>
      </c>
      <c r="E181" s="15">
        <f t="shared" si="70"/>
        <v>137542</v>
      </c>
      <c r="F181" s="15"/>
      <c r="G181" s="15">
        <f t="shared" si="62"/>
        <v>0</v>
      </c>
      <c r="H181" s="21">
        <f t="shared" si="63"/>
        <v>0</v>
      </c>
      <c r="I181" s="15">
        <f t="shared" si="64"/>
        <v>0</v>
      </c>
      <c r="J181" s="21">
        <f t="shared" si="65"/>
        <v>0</v>
      </c>
      <c r="K181" s="15">
        <f t="shared" si="72"/>
        <v>0</v>
      </c>
      <c r="L181" s="15">
        <f t="shared" si="73"/>
        <v>0</v>
      </c>
      <c r="M181" s="15"/>
      <c r="N181" s="15">
        <f t="shared" si="74"/>
        <v>137542</v>
      </c>
      <c r="O181" s="15">
        <f t="shared" si="66"/>
        <v>122387.8</v>
      </c>
      <c r="P181" s="15"/>
      <c r="Q181" s="30" t="s">
        <v>44</v>
      </c>
      <c r="R181" s="15"/>
      <c r="S181" s="76">
        <f t="shared" si="67"/>
        <v>31304</v>
      </c>
      <c r="T181" s="15">
        <f t="shared" si="68"/>
        <v>3130</v>
      </c>
      <c r="U181" s="15">
        <f t="shared" si="69"/>
        <v>34434</v>
      </c>
      <c r="V181" s="15"/>
      <c r="W181" s="15" t="s">
        <v>113</v>
      </c>
      <c r="X181" s="15">
        <f t="shared" si="75"/>
        <v>31304</v>
      </c>
      <c r="Y181" s="15">
        <v>32479</v>
      </c>
      <c r="Z181" s="35">
        <v>35073</v>
      </c>
      <c r="AA181" s="15">
        <v>34015</v>
      </c>
      <c r="AB181" s="31">
        <v>33575</v>
      </c>
      <c r="AC181" s="15">
        <f t="shared" si="71"/>
        <v>1058</v>
      </c>
      <c r="AD181" s="1"/>
      <c r="AE181" s="3">
        <v>1</v>
      </c>
      <c r="AF181" s="1" t="s">
        <v>113</v>
      </c>
      <c r="AG181" s="1">
        <v>34015</v>
      </c>
      <c r="AI181" s="39"/>
      <c r="AJ181" s="81" t="s">
        <v>386</v>
      </c>
      <c r="AK181" s="81">
        <v>137542</v>
      </c>
      <c r="AL181" s="81">
        <v>0</v>
      </c>
      <c r="AM181" s="81">
        <v>0</v>
      </c>
      <c r="AN181" s="81">
        <v>0</v>
      </c>
      <c r="AO181" s="81">
        <v>0</v>
      </c>
      <c r="AR181" s="32" t="s">
        <v>386</v>
      </c>
      <c r="AS181" s="57">
        <v>152882</v>
      </c>
      <c r="AT181" s="57">
        <v>0</v>
      </c>
      <c r="AU181" s="57">
        <v>0</v>
      </c>
      <c r="AV181" s="57">
        <v>0</v>
      </c>
      <c r="AW181" s="57">
        <v>0</v>
      </c>
      <c r="AZ181" s="32" t="s">
        <v>386</v>
      </c>
      <c r="BA181" s="57">
        <v>152882</v>
      </c>
      <c r="BB181" s="57">
        <v>0</v>
      </c>
      <c r="BC181" s="57">
        <v>0</v>
      </c>
      <c r="BD181" s="57">
        <v>0</v>
      </c>
      <c r="BE181" s="57">
        <v>0</v>
      </c>
      <c r="BH181" s="32" t="s">
        <v>386</v>
      </c>
      <c r="BI181" s="43">
        <f>157983.07</f>
        <v>157983.07</v>
      </c>
      <c r="BJ181" s="44">
        <v>0</v>
      </c>
      <c r="BK181" s="44">
        <v>0</v>
      </c>
      <c r="BL181" s="44">
        <v>0</v>
      </c>
      <c r="BM181" s="44">
        <v>0</v>
      </c>
    </row>
    <row r="182" spans="1:65" ht="21">
      <c r="A182" s="15" t="s">
        <v>198</v>
      </c>
      <c r="B182" s="28"/>
      <c r="C182" s="29">
        <f t="shared" si="60"/>
        <v>22480</v>
      </c>
      <c r="D182" s="21">
        <f t="shared" si="61"/>
        <v>0</v>
      </c>
      <c r="E182" s="15">
        <f t="shared" si="70"/>
        <v>22480</v>
      </c>
      <c r="F182" s="15"/>
      <c r="G182" s="15">
        <f t="shared" si="62"/>
        <v>0</v>
      </c>
      <c r="H182" s="21">
        <f t="shared" si="63"/>
        <v>0</v>
      </c>
      <c r="I182" s="15">
        <f t="shared" si="64"/>
        <v>0</v>
      </c>
      <c r="J182" s="21">
        <f t="shared" si="65"/>
        <v>0</v>
      </c>
      <c r="K182" s="15">
        <f t="shared" si="72"/>
        <v>0</v>
      </c>
      <c r="L182" s="15">
        <f t="shared" si="73"/>
        <v>0</v>
      </c>
      <c r="M182" s="15"/>
      <c r="N182" s="15">
        <f t="shared" si="74"/>
        <v>22480</v>
      </c>
      <c r="O182" s="15">
        <f t="shared" si="66"/>
        <v>18832</v>
      </c>
      <c r="P182" s="15"/>
      <c r="Q182" s="30" t="s">
        <v>44</v>
      </c>
      <c r="R182" s="15"/>
      <c r="S182" s="76">
        <f t="shared" si="67"/>
        <v>4817</v>
      </c>
      <c r="T182" s="15">
        <f t="shared" si="68"/>
        <v>482</v>
      </c>
      <c r="U182" s="15">
        <f t="shared" si="69"/>
        <v>5299</v>
      </c>
      <c r="V182" s="15"/>
      <c r="W182" s="15" t="s">
        <v>198</v>
      </c>
      <c r="X182" s="15">
        <f t="shared" si="75"/>
        <v>4817</v>
      </c>
      <c r="Y182" s="15">
        <v>5574</v>
      </c>
      <c r="Z182" s="35">
        <v>6152</v>
      </c>
      <c r="AA182" s="15">
        <v>6060</v>
      </c>
      <c r="AB182" s="31">
        <v>4658</v>
      </c>
      <c r="AC182" s="15">
        <f t="shared" si="71"/>
        <v>92</v>
      </c>
      <c r="AD182" s="1"/>
      <c r="AE182" s="3">
        <v>1</v>
      </c>
      <c r="AF182" s="1" t="s">
        <v>198</v>
      </c>
      <c r="AG182" s="1">
        <v>6060</v>
      </c>
      <c r="AJ182" s="81" t="s">
        <v>437</v>
      </c>
      <c r="AK182" s="81">
        <v>22480</v>
      </c>
      <c r="AL182" s="81">
        <v>0</v>
      </c>
      <c r="AM182" s="81">
        <v>0</v>
      </c>
      <c r="AN182" s="81">
        <v>0</v>
      </c>
      <c r="AO182" s="81">
        <v>0</v>
      </c>
      <c r="AR182" s="32" t="s">
        <v>371</v>
      </c>
      <c r="AS182" s="57">
        <v>27524</v>
      </c>
      <c r="AT182" s="57">
        <v>0</v>
      </c>
      <c r="AU182" s="57">
        <v>0</v>
      </c>
      <c r="AV182" s="57">
        <v>0</v>
      </c>
      <c r="AW182" s="57">
        <v>0</v>
      </c>
      <c r="AZ182" s="32" t="s">
        <v>437</v>
      </c>
      <c r="BA182" s="57">
        <v>27524</v>
      </c>
      <c r="BB182" s="57">
        <v>0</v>
      </c>
      <c r="BC182" s="57">
        <v>0</v>
      </c>
      <c r="BD182" s="57">
        <v>0</v>
      </c>
      <c r="BE182" s="57">
        <v>0</v>
      </c>
      <c r="BH182" s="32" t="s">
        <v>371</v>
      </c>
      <c r="BI182" s="33">
        <v>28992.8</v>
      </c>
      <c r="BJ182" s="33">
        <v>0</v>
      </c>
      <c r="BK182" s="33">
        <v>0</v>
      </c>
      <c r="BL182" s="33">
        <v>0</v>
      </c>
      <c r="BM182" s="33">
        <v>0</v>
      </c>
    </row>
    <row r="183" spans="1:57" ht="21.75">
      <c r="A183" s="15" t="s">
        <v>251</v>
      </c>
      <c r="B183" s="62" t="s">
        <v>105</v>
      </c>
      <c r="C183" s="29">
        <f t="shared" si="60"/>
        <v>0</v>
      </c>
      <c r="D183" s="21">
        <f t="shared" si="61"/>
        <v>0</v>
      </c>
      <c r="E183" s="15">
        <f t="shared" si="70"/>
        <v>0</v>
      </c>
      <c r="F183" s="15"/>
      <c r="G183" s="15">
        <f t="shared" si="62"/>
        <v>0</v>
      </c>
      <c r="H183" s="21">
        <f t="shared" si="63"/>
        <v>0</v>
      </c>
      <c r="I183" s="15">
        <f t="shared" si="64"/>
        <v>0</v>
      </c>
      <c r="J183" s="21">
        <f t="shared" si="65"/>
        <v>0</v>
      </c>
      <c r="K183" s="15">
        <f aca="true" t="shared" si="76" ref="K183:K188">J183*0.25</f>
        <v>0</v>
      </c>
      <c r="L183" s="15">
        <f aca="true" t="shared" si="77" ref="L183:L188">+G183+I183+K183</f>
        <v>0</v>
      </c>
      <c r="M183" s="15"/>
      <c r="N183" s="15">
        <f aca="true" t="shared" si="78" ref="N183:N188">E183-L183</f>
        <v>0</v>
      </c>
      <c r="O183" s="15">
        <f aca="true" t="shared" si="79" ref="O183:O188">IF(N183&gt;=4000,(N183-4000)*0.9+2200,IF(N183&gt;=3000,(N183-3000)*0.8+1400,IF(N183&gt;=2000,(N183-2000)*0.6+800,IF(N183&gt;0,N183*0.4,0))))</f>
        <v>0</v>
      </c>
      <c r="P183" s="15"/>
      <c r="Q183" s="30" t="s">
        <v>44</v>
      </c>
      <c r="R183" s="15"/>
      <c r="S183" s="76">
        <f aca="true" t="shared" si="80" ref="S183:S188">ROUND(SUM(O183*$Q$10),0)</f>
        <v>0</v>
      </c>
      <c r="T183" s="15">
        <f aca="true" t="shared" si="81" ref="T183:T188">ROUND(SUM(S183*0.1),0)</f>
        <v>0</v>
      </c>
      <c r="U183" s="15">
        <f aca="true" t="shared" si="82" ref="U183:U188">SUM(S183:T183)</f>
        <v>0</v>
      </c>
      <c r="V183" s="15"/>
      <c r="W183" s="15" t="s">
        <v>251</v>
      </c>
      <c r="X183" s="15">
        <f t="shared" si="75"/>
        <v>0</v>
      </c>
      <c r="Y183" s="15">
        <v>0</v>
      </c>
      <c r="Z183" s="35">
        <v>0</v>
      </c>
      <c r="AA183" s="15">
        <v>0</v>
      </c>
      <c r="AB183" s="31">
        <v>0</v>
      </c>
      <c r="AC183" s="15">
        <f t="shared" si="71"/>
        <v>0</v>
      </c>
      <c r="AD183" s="1"/>
      <c r="AE183" s="3">
        <v>1</v>
      </c>
      <c r="AF183" s="1" t="s">
        <v>251</v>
      </c>
      <c r="AG183" s="1">
        <v>0</v>
      </c>
      <c r="AI183" s="39"/>
      <c r="AS183" s="57"/>
      <c r="AT183" s="57"/>
      <c r="AU183" s="57"/>
      <c r="AV183" s="57"/>
      <c r="AW183" s="57"/>
      <c r="AZ183" s="32"/>
      <c r="BA183" s="57"/>
      <c r="BB183" s="57"/>
      <c r="BC183" s="57"/>
      <c r="BD183" s="57"/>
      <c r="BE183" s="57"/>
    </row>
    <row r="184" spans="1:65" ht="21">
      <c r="A184" s="15" t="s">
        <v>191</v>
      </c>
      <c r="B184" s="28"/>
      <c r="C184" s="29">
        <f t="shared" si="60"/>
        <v>50652</v>
      </c>
      <c r="D184" s="21">
        <f t="shared" si="61"/>
        <v>0</v>
      </c>
      <c r="E184" s="15">
        <f t="shared" si="70"/>
        <v>50652</v>
      </c>
      <c r="F184" s="15"/>
      <c r="G184" s="15">
        <f t="shared" si="62"/>
        <v>0</v>
      </c>
      <c r="H184" s="21">
        <f t="shared" si="63"/>
        <v>6930</v>
      </c>
      <c r="I184" s="15">
        <f t="shared" si="64"/>
        <v>3465</v>
      </c>
      <c r="J184" s="21">
        <f t="shared" si="65"/>
        <v>0</v>
      </c>
      <c r="K184" s="15">
        <f t="shared" si="76"/>
        <v>0</v>
      </c>
      <c r="L184" s="15">
        <f t="shared" si="77"/>
        <v>3465</v>
      </c>
      <c r="M184" s="15"/>
      <c r="N184" s="15">
        <f t="shared" si="78"/>
        <v>47187</v>
      </c>
      <c r="O184" s="15">
        <f t="shared" si="79"/>
        <v>41068.3</v>
      </c>
      <c r="P184" s="15"/>
      <c r="Q184" s="30" t="s">
        <v>44</v>
      </c>
      <c r="R184" s="15"/>
      <c r="S184" s="76">
        <f t="shared" si="80"/>
        <v>10504</v>
      </c>
      <c r="T184" s="15">
        <f t="shared" si="81"/>
        <v>1050</v>
      </c>
      <c r="U184" s="15">
        <f t="shared" si="82"/>
        <v>11554</v>
      </c>
      <c r="V184" s="15"/>
      <c r="W184" s="15" t="s">
        <v>191</v>
      </c>
      <c r="X184" s="15">
        <f t="shared" si="75"/>
        <v>10504</v>
      </c>
      <c r="Y184" s="15">
        <v>9234</v>
      </c>
      <c r="Z184" s="35">
        <v>7947</v>
      </c>
      <c r="AA184" s="15">
        <v>16291</v>
      </c>
      <c r="AB184" s="31">
        <v>16787</v>
      </c>
      <c r="AC184" s="15">
        <f t="shared" si="71"/>
        <v>-8344</v>
      </c>
      <c r="AD184" s="1"/>
      <c r="AE184" s="3">
        <v>1</v>
      </c>
      <c r="AF184" s="1" t="s">
        <v>191</v>
      </c>
      <c r="AG184" s="1">
        <v>16291</v>
      </c>
      <c r="AJ184" s="81" t="s">
        <v>446</v>
      </c>
      <c r="AK184" s="81">
        <v>50652</v>
      </c>
      <c r="AL184" s="81">
        <v>0</v>
      </c>
      <c r="AM184" s="81">
        <v>0</v>
      </c>
      <c r="AN184" s="81">
        <v>6930</v>
      </c>
      <c r="AO184" s="81">
        <v>0</v>
      </c>
      <c r="AR184" s="32" t="s">
        <v>376</v>
      </c>
      <c r="AS184" s="57">
        <v>44581</v>
      </c>
      <c r="AT184" s="57">
        <v>0</v>
      </c>
      <c r="AU184" s="57">
        <v>0</v>
      </c>
      <c r="AV184" s="57">
        <v>0</v>
      </c>
      <c r="AW184" s="57">
        <v>0</v>
      </c>
      <c r="AZ184" s="32" t="s">
        <v>446</v>
      </c>
      <c r="BA184" s="57">
        <v>44581</v>
      </c>
      <c r="BB184" s="57">
        <v>0</v>
      </c>
      <c r="BC184" s="57">
        <v>0</v>
      </c>
      <c r="BD184" s="57">
        <v>0</v>
      </c>
      <c r="BE184" s="57">
        <v>0</v>
      </c>
      <c r="BH184" s="32" t="s">
        <v>376</v>
      </c>
      <c r="BI184" s="33">
        <v>37000</v>
      </c>
      <c r="BJ184" s="33"/>
      <c r="BK184" s="33"/>
      <c r="BL184" s="33">
        <v>0</v>
      </c>
      <c r="BM184" s="33"/>
    </row>
    <row r="185" spans="1:65" ht="21">
      <c r="A185" s="15" t="s">
        <v>143</v>
      </c>
      <c r="B185" s="28"/>
      <c r="C185" s="29">
        <f t="shared" si="60"/>
        <v>66038</v>
      </c>
      <c r="D185" s="21">
        <f t="shared" si="61"/>
        <v>0</v>
      </c>
      <c r="E185" s="15">
        <f t="shared" si="70"/>
        <v>66038</v>
      </c>
      <c r="F185" s="15"/>
      <c r="G185" s="15">
        <f t="shared" si="62"/>
        <v>0</v>
      </c>
      <c r="H185" s="21">
        <f t="shared" si="63"/>
        <v>17500</v>
      </c>
      <c r="I185" s="15">
        <f t="shared" si="64"/>
        <v>8750</v>
      </c>
      <c r="J185" s="21">
        <f t="shared" si="65"/>
        <v>0</v>
      </c>
      <c r="K185" s="15">
        <f t="shared" si="76"/>
        <v>0</v>
      </c>
      <c r="L185" s="15">
        <f t="shared" si="77"/>
        <v>8750</v>
      </c>
      <c r="M185" s="15"/>
      <c r="N185" s="15">
        <f t="shared" si="78"/>
        <v>57288</v>
      </c>
      <c r="O185" s="15">
        <f t="shared" si="79"/>
        <v>50159.200000000004</v>
      </c>
      <c r="P185" s="15"/>
      <c r="Q185" s="30" t="s">
        <v>44</v>
      </c>
      <c r="R185" s="15"/>
      <c r="S185" s="76">
        <f t="shared" si="80"/>
        <v>12830</v>
      </c>
      <c r="T185" s="15">
        <f t="shared" si="81"/>
        <v>1283</v>
      </c>
      <c r="U185" s="15">
        <f t="shared" si="82"/>
        <v>14113</v>
      </c>
      <c r="V185" s="15"/>
      <c r="W185" s="15" t="s">
        <v>143</v>
      </c>
      <c r="X185" s="15">
        <f t="shared" si="75"/>
        <v>12830</v>
      </c>
      <c r="Y185" s="15">
        <v>27420</v>
      </c>
      <c r="Z185" s="35">
        <v>26758</v>
      </c>
      <c r="AA185" s="15">
        <v>21957</v>
      </c>
      <c r="AB185" s="31">
        <v>20787</v>
      </c>
      <c r="AC185" s="15">
        <f t="shared" si="71"/>
        <v>4801</v>
      </c>
      <c r="AD185" s="1"/>
      <c r="AE185" s="3">
        <v>1</v>
      </c>
      <c r="AF185" s="1" t="s">
        <v>143</v>
      </c>
      <c r="AG185" s="1">
        <v>21957</v>
      </c>
      <c r="AJ185" s="81" t="s">
        <v>536</v>
      </c>
      <c r="AK185" s="81">
        <v>66038</v>
      </c>
      <c r="AL185" s="81">
        <v>0</v>
      </c>
      <c r="AN185" s="81">
        <v>17500</v>
      </c>
      <c r="AR185" s="32" t="s">
        <v>373</v>
      </c>
      <c r="AS185" s="57">
        <v>137647</v>
      </c>
      <c r="AT185" s="57">
        <v>0</v>
      </c>
      <c r="AU185" s="57">
        <v>0</v>
      </c>
      <c r="AV185" s="57">
        <v>16672</v>
      </c>
      <c r="AW185" s="57">
        <v>0</v>
      </c>
      <c r="AZ185" s="32" t="s">
        <v>443</v>
      </c>
      <c r="BA185" s="57">
        <v>137647</v>
      </c>
      <c r="BB185" s="57">
        <v>0</v>
      </c>
      <c r="BC185" s="57">
        <v>0</v>
      </c>
      <c r="BD185" s="57">
        <v>16672</v>
      </c>
      <c r="BE185" s="57">
        <v>0</v>
      </c>
      <c r="BH185" s="32" t="s">
        <v>373</v>
      </c>
      <c r="BI185" s="33">
        <v>129060</v>
      </c>
      <c r="BJ185" s="33">
        <v>0</v>
      </c>
      <c r="BK185" s="33">
        <v>0</v>
      </c>
      <c r="BL185" s="33">
        <v>16318</v>
      </c>
      <c r="BM185" s="33">
        <v>0</v>
      </c>
    </row>
    <row r="186" spans="1:65" ht="21">
      <c r="A186" s="15" t="s">
        <v>144</v>
      </c>
      <c r="B186" s="28"/>
      <c r="C186" s="29">
        <f t="shared" si="60"/>
        <v>257979</v>
      </c>
      <c r="D186" s="21">
        <f t="shared" si="61"/>
        <v>0</v>
      </c>
      <c r="E186" s="15">
        <f t="shared" si="70"/>
        <v>257979</v>
      </c>
      <c r="F186" s="15"/>
      <c r="G186" s="15">
        <f t="shared" si="62"/>
        <v>0</v>
      </c>
      <c r="H186" s="21">
        <f t="shared" si="63"/>
        <v>23184</v>
      </c>
      <c r="I186" s="15">
        <f t="shared" si="64"/>
        <v>11592</v>
      </c>
      <c r="J186" s="21">
        <f t="shared" si="65"/>
        <v>0</v>
      </c>
      <c r="K186" s="15">
        <f t="shared" si="76"/>
        <v>0</v>
      </c>
      <c r="L186" s="15">
        <f t="shared" si="77"/>
        <v>11592</v>
      </c>
      <c r="M186" s="15"/>
      <c r="N186" s="15">
        <f t="shared" si="78"/>
        <v>246387</v>
      </c>
      <c r="O186" s="15">
        <f t="shared" si="79"/>
        <v>220348.30000000002</v>
      </c>
      <c r="P186" s="15"/>
      <c r="Q186" s="30" t="s">
        <v>44</v>
      </c>
      <c r="R186" s="15"/>
      <c r="S186" s="76">
        <f t="shared" si="80"/>
        <v>56360</v>
      </c>
      <c r="T186" s="15">
        <f t="shared" si="81"/>
        <v>5636</v>
      </c>
      <c r="U186" s="15">
        <f t="shared" si="82"/>
        <v>61996</v>
      </c>
      <c r="V186" s="15"/>
      <c r="W186" s="15" t="s">
        <v>144</v>
      </c>
      <c r="X186" s="15">
        <f t="shared" si="75"/>
        <v>56360</v>
      </c>
      <c r="Y186" s="15">
        <v>52997</v>
      </c>
      <c r="Z186" s="35">
        <v>54975</v>
      </c>
      <c r="AA186" s="15">
        <v>52657</v>
      </c>
      <c r="AB186" s="31">
        <v>49805</v>
      </c>
      <c r="AC186" s="15">
        <f t="shared" si="71"/>
        <v>2318</v>
      </c>
      <c r="AD186" s="1"/>
      <c r="AE186" s="3">
        <v>1</v>
      </c>
      <c r="AF186" s="1" t="s">
        <v>144</v>
      </c>
      <c r="AG186" s="1">
        <v>52657</v>
      </c>
      <c r="AJ186" s="81" t="s">
        <v>535</v>
      </c>
      <c r="AK186" s="84">
        <v>257979</v>
      </c>
      <c r="AL186" s="81">
        <v>0</v>
      </c>
      <c r="AM186" s="81">
        <v>0</v>
      </c>
      <c r="AN186" s="84">
        <v>23184</v>
      </c>
      <c r="AO186" s="81">
        <v>0</v>
      </c>
      <c r="AR186" s="32" t="s">
        <v>377</v>
      </c>
      <c r="AS186" s="57">
        <v>259843.16</v>
      </c>
      <c r="AT186" s="57">
        <v>0</v>
      </c>
      <c r="AU186" s="57">
        <v>0</v>
      </c>
      <c r="AV186" s="57">
        <v>22719.96</v>
      </c>
      <c r="AW186" s="57">
        <v>0</v>
      </c>
      <c r="AZ186" s="32" t="s">
        <v>377</v>
      </c>
      <c r="BA186" s="57">
        <v>259843.16</v>
      </c>
      <c r="BB186" s="57">
        <v>0</v>
      </c>
      <c r="BC186" s="57">
        <v>0</v>
      </c>
      <c r="BD186" s="57">
        <v>22719.96</v>
      </c>
      <c r="BE186" s="57">
        <v>0</v>
      </c>
      <c r="BH186" s="32" t="s">
        <v>377</v>
      </c>
      <c r="BI186" s="33">
        <v>257890.65</v>
      </c>
      <c r="BJ186" s="33">
        <v>0</v>
      </c>
      <c r="BK186" s="33">
        <v>0</v>
      </c>
      <c r="BL186" s="33">
        <v>22280.04</v>
      </c>
      <c r="BM186" s="33">
        <v>0</v>
      </c>
    </row>
    <row r="187" spans="1:65" ht="21">
      <c r="A187" s="15" t="s">
        <v>145</v>
      </c>
      <c r="B187" s="28"/>
      <c r="C187" s="29">
        <f t="shared" si="60"/>
        <v>68442</v>
      </c>
      <c r="D187" s="21">
        <f t="shared" si="61"/>
        <v>0</v>
      </c>
      <c r="E187" s="15">
        <f t="shared" si="70"/>
        <v>68442</v>
      </c>
      <c r="F187" s="15"/>
      <c r="G187" s="15">
        <f t="shared" si="62"/>
        <v>0</v>
      </c>
      <c r="H187" s="21">
        <f t="shared" si="63"/>
        <v>0</v>
      </c>
      <c r="I187" s="15">
        <f t="shared" si="64"/>
        <v>0</v>
      </c>
      <c r="J187" s="21">
        <f t="shared" si="65"/>
        <v>0</v>
      </c>
      <c r="K187" s="15">
        <f t="shared" si="76"/>
        <v>0</v>
      </c>
      <c r="L187" s="15">
        <f t="shared" si="77"/>
        <v>0</v>
      </c>
      <c r="M187" s="15"/>
      <c r="N187" s="15">
        <f t="shared" si="78"/>
        <v>68442</v>
      </c>
      <c r="O187" s="15">
        <f t="shared" si="79"/>
        <v>60197.8</v>
      </c>
      <c r="P187" s="15"/>
      <c r="Q187" s="30" t="s">
        <v>44</v>
      </c>
      <c r="R187" s="15"/>
      <c r="S187" s="76">
        <f t="shared" si="80"/>
        <v>15397</v>
      </c>
      <c r="T187" s="15">
        <f t="shared" si="81"/>
        <v>1540</v>
      </c>
      <c r="U187" s="15">
        <f t="shared" si="82"/>
        <v>16937</v>
      </c>
      <c r="V187" s="15"/>
      <c r="W187" s="15" t="s">
        <v>145</v>
      </c>
      <c r="X187" s="15">
        <f t="shared" si="75"/>
        <v>15397</v>
      </c>
      <c r="Y187" s="15">
        <v>22678</v>
      </c>
      <c r="Z187" s="35">
        <v>24405</v>
      </c>
      <c r="AA187" s="15">
        <v>26083</v>
      </c>
      <c r="AB187" s="35">
        <v>25669</v>
      </c>
      <c r="AC187" s="15">
        <f t="shared" si="71"/>
        <v>-1678</v>
      </c>
      <c r="AD187" s="1"/>
      <c r="AE187" s="3">
        <v>1</v>
      </c>
      <c r="AF187" s="1" t="s">
        <v>145</v>
      </c>
      <c r="AG187" s="1">
        <v>26083</v>
      </c>
      <c r="AJ187" s="81" t="s">
        <v>445</v>
      </c>
      <c r="AK187" s="84">
        <v>68442</v>
      </c>
      <c r="AL187" s="84">
        <v>0</v>
      </c>
      <c r="AM187" s="84">
        <v>0</v>
      </c>
      <c r="AN187" s="84">
        <v>0</v>
      </c>
      <c r="AO187" s="81">
        <v>0</v>
      </c>
      <c r="AR187" s="32" t="s">
        <v>375</v>
      </c>
      <c r="AS187" s="57">
        <v>112449</v>
      </c>
      <c r="AT187" s="57">
        <v>0</v>
      </c>
      <c r="AU187" s="57">
        <v>0</v>
      </c>
      <c r="AV187" s="57">
        <v>10464</v>
      </c>
      <c r="AW187" s="57">
        <v>0</v>
      </c>
      <c r="AZ187" s="32" t="s">
        <v>445</v>
      </c>
      <c r="BA187" s="57">
        <v>112449</v>
      </c>
      <c r="BB187" s="57">
        <v>0</v>
      </c>
      <c r="BC187" s="57">
        <v>0</v>
      </c>
      <c r="BD187" s="57">
        <v>10464</v>
      </c>
      <c r="BE187" s="57">
        <v>0</v>
      </c>
      <c r="BH187" s="32" t="s">
        <v>375</v>
      </c>
      <c r="BI187" s="33">
        <v>117316</v>
      </c>
      <c r="BJ187" s="33">
        <v>0</v>
      </c>
      <c r="BK187" s="33">
        <v>0</v>
      </c>
      <c r="BL187" s="33">
        <v>13825</v>
      </c>
      <c r="BM187" s="33">
        <v>0</v>
      </c>
    </row>
    <row r="188" spans="1:65" ht="21">
      <c r="A188" s="15" t="s">
        <v>135</v>
      </c>
      <c r="B188" s="28"/>
      <c r="C188" s="29">
        <f t="shared" si="60"/>
        <v>106939</v>
      </c>
      <c r="D188" s="21">
        <f t="shared" si="61"/>
        <v>0</v>
      </c>
      <c r="E188" s="15">
        <f t="shared" si="70"/>
        <v>106939</v>
      </c>
      <c r="F188" s="15"/>
      <c r="G188" s="15">
        <f t="shared" si="62"/>
        <v>0</v>
      </c>
      <c r="H188" s="21">
        <f t="shared" si="63"/>
        <v>16259</v>
      </c>
      <c r="I188" s="15">
        <f t="shared" si="64"/>
        <v>8129.5</v>
      </c>
      <c r="J188" s="21">
        <f t="shared" si="65"/>
        <v>0</v>
      </c>
      <c r="K188" s="15">
        <f t="shared" si="76"/>
        <v>0</v>
      </c>
      <c r="L188" s="15">
        <f t="shared" si="77"/>
        <v>8129.5</v>
      </c>
      <c r="M188" s="15"/>
      <c r="N188" s="15">
        <f t="shared" si="78"/>
        <v>98809.5</v>
      </c>
      <c r="O188" s="15">
        <f t="shared" si="79"/>
        <v>87528.55</v>
      </c>
      <c r="P188" s="15"/>
      <c r="Q188" s="30" t="s">
        <v>44</v>
      </c>
      <c r="R188" s="15"/>
      <c r="S188" s="76">
        <f t="shared" si="80"/>
        <v>22388</v>
      </c>
      <c r="T188" s="15">
        <f t="shared" si="81"/>
        <v>2239</v>
      </c>
      <c r="U188" s="15">
        <f t="shared" si="82"/>
        <v>24627</v>
      </c>
      <c r="V188" s="15"/>
      <c r="W188" s="15" t="s">
        <v>135</v>
      </c>
      <c r="X188" s="15">
        <f t="shared" si="75"/>
        <v>22388</v>
      </c>
      <c r="Y188" s="15">
        <v>20873</v>
      </c>
      <c r="Z188" s="35">
        <v>21372</v>
      </c>
      <c r="AA188" s="15">
        <v>20903</v>
      </c>
      <c r="AB188" s="31">
        <v>18385</v>
      </c>
      <c r="AC188" s="15">
        <f t="shared" si="71"/>
        <v>469</v>
      </c>
      <c r="AD188" s="1"/>
      <c r="AE188" s="3">
        <v>1</v>
      </c>
      <c r="AF188" s="1" t="s">
        <v>135</v>
      </c>
      <c r="AG188" s="1">
        <v>20903</v>
      </c>
      <c r="AJ188" s="95"/>
      <c r="AK188" s="91">
        <f>AS188</f>
        <v>106939</v>
      </c>
      <c r="AL188" s="91">
        <f>AT188</f>
        <v>0</v>
      </c>
      <c r="AM188" s="91">
        <f>AU188</f>
        <v>0</v>
      </c>
      <c r="AN188" s="91">
        <f>AV188</f>
        <v>16259</v>
      </c>
      <c r="AO188" s="91">
        <f>AW188</f>
        <v>0</v>
      </c>
      <c r="AR188" s="32" t="s">
        <v>367</v>
      </c>
      <c r="AS188" s="57">
        <v>106939</v>
      </c>
      <c r="AT188" s="57">
        <v>0</v>
      </c>
      <c r="AU188" s="57">
        <v>0</v>
      </c>
      <c r="AV188" s="57">
        <v>16259</v>
      </c>
      <c r="AW188" s="57">
        <v>0</v>
      </c>
      <c r="AZ188" s="32" t="s">
        <v>367</v>
      </c>
      <c r="BA188" s="57">
        <v>106939</v>
      </c>
      <c r="BB188" s="57">
        <v>0</v>
      </c>
      <c r="BC188" s="57">
        <v>0</v>
      </c>
      <c r="BD188" s="57">
        <v>16259</v>
      </c>
      <c r="BE188" s="57">
        <v>0</v>
      </c>
      <c r="BH188" s="32" t="s">
        <v>367</v>
      </c>
      <c r="BI188" s="33">
        <v>104794</v>
      </c>
      <c r="BJ188" s="33">
        <v>0</v>
      </c>
      <c r="BK188" s="33">
        <v>0</v>
      </c>
      <c r="BL188" s="33">
        <v>15838</v>
      </c>
      <c r="BM188" s="33">
        <v>0</v>
      </c>
    </row>
    <row r="189" spans="1:57" ht="21">
      <c r="A189" s="19" t="s">
        <v>3</v>
      </c>
      <c r="B189" s="15"/>
      <c r="C189" s="19" t="s">
        <v>3</v>
      </c>
      <c r="D189" s="19" t="s">
        <v>3</v>
      </c>
      <c r="E189" s="19" t="s">
        <v>3</v>
      </c>
      <c r="F189" s="15"/>
      <c r="G189" s="19" t="s">
        <v>3</v>
      </c>
      <c r="H189" s="19" t="s">
        <v>3</v>
      </c>
      <c r="I189" s="19" t="s">
        <v>3</v>
      </c>
      <c r="J189" s="19" t="s">
        <v>3</v>
      </c>
      <c r="K189" s="19" t="s">
        <v>3</v>
      </c>
      <c r="L189" s="19" t="s">
        <v>3</v>
      </c>
      <c r="M189" s="15"/>
      <c r="N189" s="19" t="s">
        <v>3</v>
      </c>
      <c r="O189" s="19" t="s">
        <v>3</v>
      </c>
      <c r="P189" s="15"/>
      <c r="Q189" s="15"/>
      <c r="R189" s="15"/>
      <c r="S189" s="78" t="s">
        <v>3</v>
      </c>
      <c r="T189" s="19" t="s">
        <v>3</v>
      </c>
      <c r="U189" s="19" t="s">
        <v>3</v>
      </c>
      <c r="V189" s="15"/>
      <c r="W189" s="15"/>
      <c r="X189" s="15"/>
      <c r="Y189" s="15"/>
      <c r="Z189" s="1"/>
      <c r="AA189" s="1"/>
      <c r="AB189" s="31"/>
      <c r="AC189" s="15">
        <f t="shared" si="71"/>
        <v>0</v>
      </c>
      <c r="AD189" s="1"/>
      <c r="AE189" s="1"/>
      <c r="AF189" s="1"/>
      <c r="AG189" s="1"/>
      <c r="AS189" s="57"/>
      <c r="AT189" s="57"/>
      <c r="AU189" s="57"/>
      <c r="AV189" s="57"/>
      <c r="AW189" s="57"/>
      <c r="AZ189" s="32"/>
      <c r="BA189" s="57"/>
      <c r="BB189" s="57"/>
      <c r="BC189" s="57"/>
      <c r="BD189" s="57"/>
      <c r="BE189" s="57"/>
    </row>
    <row r="190" spans="1:65" ht="21">
      <c r="A190" s="15" t="s">
        <v>252</v>
      </c>
      <c r="B190" s="15"/>
      <c r="C190" s="15">
        <f>SUM(C172:C189)</f>
        <v>1149244.06</v>
      </c>
      <c r="D190" s="15">
        <f>SUM(D172:D189)</f>
        <v>152</v>
      </c>
      <c r="E190" s="15">
        <f>SUM(E172:E189)</f>
        <v>1149396.06</v>
      </c>
      <c r="F190" s="15"/>
      <c r="G190" s="15">
        <f aca="true" t="shared" si="83" ref="G190:L190">SUM(G172:G189)</f>
        <v>0</v>
      </c>
      <c r="H190" s="15">
        <f t="shared" si="83"/>
        <v>121881.04000000001</v>
      </c>
      <c r="I190" s="15">
        <f t="shared" si="83"/>
        <v>60940.520000000004</v>
      </c>
      <c r="J190" s="15">
        <f t="shared" si="83"/>
        <v>9827</v>
      </c>
      <c r="K190" s="15">
        <f t="shared" si="83"/>
        <v>2456.75</v>
      </c>
      <c r="L190" s="15">
        <f t="shared" si="83"/>
        <v>63397.270000000004</v>
      </c>
      <c r="M190" s="15"/>
      <c r="N190" s="15">
        <f>SUM(N172:N189)</f>
        <v>1085998.79</v>
      </c>
      <c r="O190" s="15">
        <f>SUM(O172:O189)</f>
        <v>957798.9110000001</v>
      </c>
      <c r="P190" s="15"/>
      <c r="Q190" s="18" t="s">
        <v>49</v>
      </c>
      <c r="R190" s="15"/>
      <c r="S190" s="76">
        <f>SUM(S172:S189)</f>
        <v>244983</v>
      </c>
      <c r="T190" s="15">
        <f>SUM(T172:T189)</f>
        <v>24499</v>
      </c>
      <c r="U190" s="15">
        <f>SUM(U172:U189)</f>
        <v>269482</v>
      </c>
      <c r="V190" s="15"/>
      <c r="W190" s="15"/>
      <c r="X190" s="15">
        <f>SUM(X173:X189)</f>
        <v>244983</v>
      </c>
      <c r="Y190" s="15">
        <f>SUM(Y173:Y189)</f>
        <v>261039</v>
      </c>
      <c r="Z190" s="15">
        <f>SUM(Z173:Z189)</f>
        <v>275986</v>
      </c>
      <c r="AA190" s="15">
        <f>SUM(AA173:AA189)</f>
        <v>261207</v>
      </c>
      <c r="AB190" s="15">
        <f>SUM(AB173:AB189)</f>
        <v>242472</v>
      </c>
      <c r="AC190" s="15">
        <f t="shared" si="71"/>
        <v>14779</v>
      </c>
      <c r="AD190" s="1"/>
      <c r="AE190" s="1"/>
      <c r="AF190" s="1"/>
      <c r="AG190" s="1"/>
      <c r="AJ190" s="81"/>
      <c r="AK190" s="83"/>
      <c r="AL190" s="81"/>
      <c r="AM190" s="81"/>
      <c r="AN190" s="83"/>
      <c r="AO190" s="81"/>
      <c r="AR190" s="32"/>
      <c r="AS190" s="43"/>
      <c r="AT190" s="43"/>
      <c r="AU190" s="43"/>
      <c r="AV190" s="43"/>
      <c r="AW190" s="43"/>
      <c r="BA190" s="43"/>
      <c r="BB190" s="43"/>
      <c r="BC190" s="43"/>
      <c r="BD190" s="43"/>
      <c r="BE190" s="43"/>
      <c r="BH190" s="32"/>
      <c r="BI190" s="33"/>
      <c r="BJ190" s="33"/>
      <c r="BK190" s="33"/>
      <c r="BL190" s="33"/>
      <c r="BM190" s="33"/>
    </row>
    <row r="191" spans="1:65" ht="21">
      <c r="A191" s="19" t="s">
        <v>3</v>
      </c>
      <c r="B191" s="15"/>
      <c r="C191" s="19" t="s">
        <v>3</v>
      </c>
      <c r="D191" s="19" t="s">
        <v>3</v>
      </c>
      <c r="E191" s="19" t="s">
        <v>3</v>
      </c>
      <c r="F191" s="15"/>
      <c r="G191" s="19" t="s">
        <v>3</v>
      </c>
      <c r="H191" s="19" t="s">
        <v>3</v>
      </c>
      <c r="I191" s="19" t="s">
        <v>3</v>
      </c>
      <c r="J191" s="19" t="s">
        <v>3</v>
      </c>
      <c r="K191" s="19" t="s">
        <v>3</v>
      </c>
      <c r="L191" s="19" t="s">
        <v>3</v>
      </c>
      <c r="M191" s="15"/>
      <c r="N191" s="19" t="s">
        <v>3</v>
      </c>
      <c r="O191" s="19" t="s">
        <v>3</v>
      </c>
      <c r="P191" s="15"/>
      <c r="Q191" s="15"/>
      <c r="R191" s="15"/>
      <c r="S191" s="78" t="s">
        <v>3</v>
      </c>
      <c r="T191" s="19" t="s">
        <v>3</v>
      </c>
      <c r="U191" s="19" t="s">
        <v>3</v>
      </c>
      <c r="V191" s="15"/>
      <c r="W191" s="15"/>
      <c r="X191" s="15"/>
      <c r="Y191" s="15"/>
      <c r="Z191" s="1"/>
      <c r="AA191" s="1"/>
      <c r="AB191" s="45"/>
      <c r="AC191" s="1"/>
      <c r="AD191" s="1"/>
      <c r="AE191" s="1"/>
      <c r="AF191" s="1"/>
      <c r="AG191" s="1"/>
      <c r="AJ191" s="81"/>
      <c r="AK191" s="84"/>
      <c r="AL191" s="81"/>
      <c r="AM191" s="81"/>
      <c r="AN191" s="84"/>
      <c r="AO191" s="81"/>
      <c r="AR191" s="32"/>
      <c r="AS191" s="57">
        <v>8640</v>
      </c>
      <c r="AT191" s="57">
        <v>0</v>
      </c>
      <c r="AU191" s="57">
        <v>0</v>
      </c>
      <c r="AV191" s="57">
        <v>0</v>
      </c>
      <c r="AW191" s="57">
        <v>0</v>
      </c>
      <c r="AZ191" s="32" t="s">
        <v>442</v>
      </c>
      <c r="BA191" s="57">
        <v>8640</v>
      </c>
      <c r="BB191" s="57">
        <v>0</v>
      </c>
      <c r="BC191" s="57">
        <v>0</v>
      </c>
      <c r="BD191" s="57">
        <v>0</v>
      </c>
      <c r="BE191" s="57">
        <v>0</v>
      </c>
      <c r="BH191" s="32"/>
      <c r="BI191" s="33"/>
      <c r="BJ191" s="33"/>
      <c r="BK191" s="33"/>
      <c r="BL191" s="33"/>
      <c r="BM191" s="33"/>
    </row>
    <row r="192" spans="1:65" ht="2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79"/>
      <c r="T192" s="35"/>
      <c r="U192" s="35"/>
      <c r="V192" s="35"/>
      <c r="W192" s="15"/>
      <c r="X192" s="15"/>
      <c r="Y192" s="15"/>
      <c r="AB192" s="45"/>
      <c r="AJ192" s="81"/>
      <c r="AK192" s="82"/>
      <c r="AL192" s="81"/>
      <c r="AM192" s="81"/>
      <c r="AN192" s="82"/>
      <c r="AO192" s="81"/>
      <c r="AR192" s="32"/>
      <c r="AS192" s="55"/>
      <c r="AT192" s="55"/>
      <c r="AU192" s="55"/>
      <c r="AV192" s="55"/>
      <c r="AW192" s="55"/>
      <c r="AZ192" s="32"/>
      <c r="BA192" s="55"/>
      <c r="BB192" s="55"/>
      <c r="BC192" s="55"/>
      <c r="BD192" s="55"/>
      <c r="BE192" s="55"/>
      <c r="BH192" s="32"/>
      <c r="BI192" s="33"/>
      <c r="BJ192" s="33"/>
      <c r="BK192" s="33"/>
      <c r="BL192" s="33"/>
      <c r="BM192" s="33"/>
    </row>
    <row r="193" spans="1:65" ht="21">
      <c r="A193" s="15" t="s">
        <v>61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76"/>
      <c r="T193" s="15"/>
      <c r="U193" s="15"/>
      <c r="V193" s="15"/>
      <c r="W193" s="15"/>
      <c r="X193" s="15"/>
      <c r="Y193" s="15"/>
      <c r="Z193" s="1"/>
      <c r="AA193" s="1"/>
      <c r="AB193" s="45"/>
      <c r="AC193" s="1"/>
      <c r="AD193" s="1"/>
      <c r="AE193" s="1"/>
      <c r="AF193" s="1"/>
      <c r="AG193" s="1"/>
      <c r="AJ193" s="81"/>
      <c r="AK193" s="82"/>
      <c r="AL193" s="81"/>
      <c r="AM193" s="81"/>
      <c r="AN193" s="81"/>
      <c r="AO193" s="81"/>
      <c r="AR193" s="32"/>
      <c r="AS193" s="55"/>
      <c r="AT193" s="55"/>
      <c r="AU193" s="55"/>
      <c r="AV193" s="55"/>
      <c r="AW193" s="55"/>
      <c r="AZ193" s="32"/>
      <c r="BA193" s="55"/>
      <c r="BB193" s="55"/>
      <c r="BC193" s="55"/>
      <c r="BD193" s="55"/>
      <c r="BE193" s="55"/>
      <c r="BH193" s="32"/>
      <c r="BI193" s="33"/>
      <c r="BJ193" s="33"/>
      <c r="BK193" s="33"/>
      <c r="BL193" s="33"/>
      <c r="BM193" s="33"/>
    </row>
    <row r="194" spans="1:65" ht="21">
      <c r="A194" s="15" t="s">
        <v>187</v>
      </c>
      <c r="B194" s="15"/>
      <c r="C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76"/>
      <c r="T194" s="15"/>
      <c r="U194" s="15"/>
      <c r="V194" s="15"/>
      <c r="W194" s="15"/>
      <c r="X194" s="15"/>
      <c r="Y194" s="15"/>
      <c r="Z194" s="1"/>
      <c r="AA194" s="1"/>
      <c r="AB194" s="45"/>
      <c r="AC194" s="1"/>
      <c r="AD194" s="1"/>
      <c r="AE194" s="1"/>
      <c r="AF194" s="1"/>
      <c r="AG194" s="1"/>
      <c r="AJ194" s="81"/>
      <c r="AK194" s="81"/>
      <c r="AL194" s="81"/>
      <c r="AM194" s="81"/>
      <c r="AN194" s="81"/>
      <c r="AO194" s="81"/>
      <c r="AR194" s="32"/>
      <c r="BH194" s="32"/>
      <c r="BI194" s="33"/>
      <c r="BJ194" s="33"/>
      <c r="BK194" s="33"/>
      <c r="BL194" s="33"/>
      <c r="BM194" s="33"/>
    </row>
    <row r="195" spans="1:65" ht="21">
      <c r="A195" s="15" t="s">
        <v>63</v>
      </c>
      <c r="B195" s="15"/>
      <c r="C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76"/>
      <c r="T195" s="15"/>
      <c r="U195" s="15"/>
      <c r="V195" s="15"/>
      <c r="W195" s="15"/>
      <c r="X195" s="15"/>
      <c r="Y195" s="15"/>
      <c r="Z195" s="1"/>
      <c r="AA195" s="1"/>
      <c r="AB195" s="38"/>
      <c r="AC195" s="1"/>
      <c r="AD195" s="1"/>
      <c r="AE195" s="1"/>
      <c r="AF195" s="1"/>
      <c r="AG195" s="1"/>
      <c r="AJ195" s="81"/>
      <c r="AK195" s="81"/>
      <c r="AL195" s="81"/>
      <c r="AM195" s="81"/>
      <c r="AN195" s="81"/>
      <c r="AO195" s="81"/>
      <c r="AR195" s="32"/>
      <c r="BH195" s="32"/>
      <c r="BI195" s="33"/>
      <c r="BJ195" s="33"/>
      <c r="BK195" s="33"/>
      <c r="BL195" s="33"/>
      <c r="BM195" s="33"/>
    </row>
    <row r="196" spans="1:41" ht="21">
      <c r="A196" s="15" t="s">
        <v>62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76"/>
      <c r="T196" s="15"/>
      <c r="U196" s="15"/>
      <c r="V196" s="15"/>
      <c r="W196" s="15"/>
      <c r="X196" s="15"/>
      <c r="Y196" s="15"/>
      <c r="Z196" s="1"/>
      <c r="AA196" s="1"/>
      <c r="AB196" s="38"/>
      <c r="AC196" s="1"/>
      <c r="AD196" s="1"/>
      <c r="AE196" s="1"/>
      <c r="AF196" s="1"/>
      <c r="AG196" s="1"/>
      <c r="AJ196" s="81"/>
      <c r="AK196" s="81"/>
      <c r="AL196" s="81"/>
      <c r="AM196" s="81"/>
      <c r="AN196" s="81"/>
      <c r="AO196" s="81"/>
    </row>
    <row r="197" spans="1:41" ht="21">
      <c r="A197" s="35" t="s">
        <v>188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76"/>
      <c r="T197" s="15"/>
      <c r="U197" s="15"/>
      <c r="V197" s="15"/>
      <c r="W197" s="15"/>
      <c r="X197" s="15"/>
      <c r="Y197" s="15"/>
      <c r="Z197" s="1"/>
      <c r="AA197" s="1"/>
      <c r="AB197" s="38"/>
      <c r="AC197" s="1"/>
      <c r="AD197" s="1"/>
      <c r="AE197" s="1"/>
      <c r="AF197" s="1"/>
      <c r="AG197" s="1"/>
      <c r="AJ197" s="81"/>
      <c r="AK197" s="81"/>
      <c r="AL197" s="81"/>
      <c r="AM197" s="81"/>
      <c r="AN197" s="81"/>
      <c r="AO197" s="81"/>
    </row>
    <row r="198" spans="1:41" ht="2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79"/>
      <c r="T198" s="35"/>
      <c r="U198" s="35"/>
      <c r="V198" s="35"/>
      <c r="W198" s="35"/>
      <c r="X198" s="35"/>
      <c r="Y198" s="35"/>
      <c r="AB198" s="38"/>
      <c r="AJ198" s="81"/>
      <c r="AK198" s="81"/>
      <c r="AL198" s="81"/>
      <c r="AM198" s="88"/>
      <c r="AN198" s="81"/>
      <c r="AO198" s="88"/>
    </row>
    <row r="199" spans="1:41" ht="21">
      <c r="A199" s="15" t="s">
        <v>64</v>
      </c>
      <c r="B199" s="15"/>
      <c r="C199" s="15"/>
      <c r="D199" s="15" t="s">
        <v>65</v>
      </c>
      <c r="E199" s="15"/>
      <c r="F199" s="15"/>
      <c r="G199" s="15"/>
      <c r="H199" s="15"/>
      <c r="I199" s="15"/>
      <c r="J199" s="15"/>
      <c r="K199" s="15"/>
      <c r="L199" s="15" t="s">
        <v>66</v>
      </c>
      <c r="M199" s="15"/>
      <c r="N199" s="15"/>
      <c r="O199" s="15"/>
      <c r="P199" s="15"/>
      <c r="Q199" s="15"/>
      <c r="R199" s="15"/>
      <c r="S199" s="76"/>
      <c r="T199" s="15"/>
      <c r="U199" s="15"/>
      <c r="V199" s="15"/>
      <c r="W199" s="15"/>
      <c r="X199" s="15"/>
      <c r="Y199" s="15"/>
      <c r="Z199" s="1"/>
      <c r="AA199" s="1"/>
      <c r="AB199" s="38"/>
      <c r="AC199" s="1"/>
      <c r="AD199" s="1"/>
      <c r="AE199" s="1"/>
      <c r="AF199" s="1"/>
      <c r="AG199" s="1"/>
      <c r="AJ199" s="81"/>
      <c r="AK199" s="83"/>
      <c r="AL199" s="81"/>
      <c r="AM199" s="81"/>
      <c r="AN199" s="83"/>
      <c r="AO199" s="81"/>
    </row>
    <row r="200" spans="1:33" ht="21">
      <c r="A200" s="19" t="s">
        <v>3</v>
      </c>
      <c r="B200" s="15"/>
      <c r="C200" s="15"/>
      <c r="D200" s="19" t="s">
        <v>3</v>
      </c>
      <c r="E200" s="19" t="s">
        <v>3</v>
      </c>
      <c r="F200" s="15"/>
      <c r="G200" s="15"/>
      <c r="H200" s="15"/>
      <c r="I200" s="15"/>
      <c r="J200" s="15"/>
      <c r="K200" s="15"/>
      <c r="L200" s="15" t="s">
        <v>67</v>
      </c>
      <c r="M200" s="15"/>
      <c r="N200" s="15"/>
      <c r="O200" s="15"/>
      <c r="P200" s="15"/>
      <c r="Q200" s="15"/>
      <c r="R200" s="15"/>
      <c r="S200" s="76"/>
      <c r="T200" s="15"/>
      <c r="U200" s="15"/>
      <c r="V200" s="15"/>
      <c r="W200" s="15"/>
      <c r="X200" s="15"/>
      <c r="Y200" s="15"/>
      <c r="Z200" s="1"/>
      <c r="AA200" s="1"/>
      <c r="AB200" s="38"/>
      <c r="AC200" s="1"/>
      <c r="AD200" s="1"/>
      <c r="AE200" s="1"/>
      <c r="AF200" s="1"/>
      <c r="AG200" s="1"/>
    </row>
    <row r="201" spans="1:33" ht="21">
      <c r="A201" s="15" t="s">
        <v>68</v>
      </c>
      <c r="B201" s="15"/>
      <c r="C201" s="15"/>
      <c r="D201" s="15" t="s">
        <v>69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76"/>
      <c r="T201" s="15"/>
      <c r="U201" s="15"/>
      <c r="V201" s="15"/>
      <c r="W201" s="15"/>
      <c r="X201" s="15"/>
      <c r="Y201" s="15"/>
      <c r="Z201" s="1"/>
      <c r="AA201" s="1"/>
      <c r="AB201" s="38"/>
      <c r="AC201" s="1"/>
      <c r="AD201" s="1"/>
      <c r="AE201" s="1"/>
      <c r="AF201" s="1"/>
      <c r="AG201" s="1"/>
    </row>
    <row r="202" spans="1:33" ht="21">
      <c r="A202" s="15" t="s">
        <v>70</v>
      </c>
      <c r="B202" s="15"/>
      <c r="C202" s="15"/>
      <c r="D202" s="15" t="s">
        <v>71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76"/>
      <c r="T202" s="15"/>
      <c r="U202" s="15"/>
      <c r="V202" s="15"/>
      <c r="W202" s="15"/>
      <c r="X202" s="15"/>
      <c r="Y202" s="15"/>
      <c r="Z202" s="1"/>
      <c r="AA202" s="1"/>
      <c r="AB202" s="38"/>
      <c r="AC202" s="1"/>
      <c r="AD202" s="1"/>
      <c r="AE202" s="1"/>
      <c r="AF202" s="1"/>
      <c r="AG202" s="1"/>
    </row>
    <row r="203" spans="1:33" ht="21">
      <c r="A203" s="15" t="s">
        <v>72</v>
      </c>
      <c r="B203" s="15"/>
      <c r="C203" s="15"/>
      <c r="D203" s="15" t="s">
        <v>73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76"/>
      <c r="T203" s="15"/>
      <c r="U203" s="15"/>
      <c r="V203" s="15"/>
      <c r="W203" s="15"/>
      <c r="X203" s="15"/>
      <c r="Y203" s="15"/>
      <c r="Z203" s="1"/>
      <c r="AA203" s="1"/>
      <c r="AB203" s="38"/>
      <c r="AC203" s="1"/>
      <c r="AD203" s="1"/>
      <c r="AE203" s="1"/>
      <c r="AF203" s="1"/>
      <c r="AG203" s="1"/>
    </row>
    <row r="204" spans="1:33" ht="21">
      <c r="A204" s="15" t="s">
        <v>74</v>
      </c>
      <c r="B204" s="15"/>
      <c r="C204" s="15"/>
      <c r="D204" s="15" t="s">
        <v>75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76"/>
      <c r="T204" s="15"/>
      <c r="U204" s="15"/>
      <c r="V204" s="15"/>
      <c r="W204" s="15"/>
      <c r="X204" s="15"/>
      <c r="Y204" s="15"/>
      <c r="Z204" s="1"/>
      <c r="AA204" s="1"/>
      <c r="AB204" s="38"/>
      <c r="AC204" s="1"/>
      <c r="AD204" s="1"/>
      <c r="AE204" s="1"/>
      <c r="AF204" s="1"/>
      <c r="AG204" s="1"/>
    </row>
    <row r="205" spans="1:28" ht="2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79"/>
      <c r="T205" s="35"/>
      <c r="U205" s="35"/>
      <c r="V205" s="35"/>
      <c r="W205" s="35"/>
      <c r="X205" s="35"/>
      <c r="Y205" s="35"/>
      <c r="AB205" s="38"/>
    </row>
    <row r="206" spans="1:33" ht="2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76"/>
      <c r="T206" s="15"/>
      <c r="U206" s="15"/>
      <c r="V206" s="15"/>
      <c r="W206" s="15"/>
      <c r="X206" s="15"/>
      <c r="Y206" s="15"/>
      <c r="Z206" s="1"/>
      <c r="AA206" s="1"/>
      <c r="AB206" s="38"/>
      <c r="AC206" s="1"/>
      <c r="AD206" s="1"/>
      <c r="AE206" s="1"/>
      <c r="AF206" s="1"/>
      <c r="AG206" s="1"/>
    </row>
    <row r="207" spans="1:33" ht="21">
      <c r="A207" s="15" t="s">
        <v>0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76"/>
      <c r="T207" s="15"/>
      <c r="U207" s="15"/>
      <c r="V207" s="15"/>
      <c r="W207" s="15"/>
      <c r="X207" s="15"/>
      <c r="Y207" s="15"/>
      <c r="Z207" s="1"/>
      <c r="AA207" s="1"/>
      <c r="AB207" s="38"/>
      <c r="AC207" s="1"/>
      <c r="AD207" s="1"/>
      <c r="AE207" s="1"/>
      <c r="AF207" s="1"/>
      <c r="AG207" s="1"/>
    </row>
    <row r="208" spans="1:33" ht="21">
      <c r="A208" s="15" t="str">
        <f>$A$3</f>
        <v>MISSION &amp; SERVICE BUDGET APPORTIONMENT 2022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76"/>
      <c r="T208" s="15"/>
      <c r="U208" s="15"/>
      <c r="V208" s="15"/>
      <c r="W208" s="15"/>
      <c r="X208" s="15"/>
      <c r="Y208" s="15"/>
      <c r="Z208" s="1"/>
      <c r="AA208" s="1"/>
      <c r="AB208" s="38"/>
      <c r="AC208" s="1"/>
      <c r="AD208" s="1"/>
      <c r="AE208" s="1"/>
      <c r="AF208" s="1"/>
      <c r="AG208" s="1"/>
    </row>
    <row r="209" spans="1:33" ht="2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76"/>
      <c r="T209" s="15"/>
      <c r="U209" s="15"/>
      <c r="V209" s="15"/>
      <c r="W209" s="15"/>
      <c r="X209" s="15"/>
      <c r="Y209" s="15"/>
      <c r="Z209" s="1"/>
      <c r="AA209" s="1"/>
      <c r="AB209" s="38"/>
      <c r="AC209" s="1"/>
      <c r="AD209" s="1"/>
      <c r="AE209" s="1"/>
      <c r="AF209" s="1"/>
      <c r="AG209" s="1"/>
    </row>
    <row r="210" spans="1:33" ht="2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76"/>
      <c r="T210" s="15"/>
      <c r="U210" s="15"/>
      <c r="V210" s="15"/>
      <c r="W210" s="15"/>
      <c r="X210" s="15"/>
      <c r="Y210" s="15"/>
      <c r="Z210" s="1"/>
      <c r="AA210" s="1"/>
      <c r="AB210" s="38"/>
      <c r="AC210" s="1"/>
      <c r="AD210" s="1"/>
      <c r="AE210" s="1"/>
      <c r="AF210" s="1"/>
      <c r="AG210" s="1"/>
    </row>
    <row r="211" spans="1:33" ht="21">
      <c r="A211" s="15" t="s">
        <v>115</v>
      </c>
      <c r="B211" s="15" t="s">
        <v>2</v>
      </c>
      <c r="C211" s="15" t="str">
        <f>C32</f>
        <v>2020 expenses</v>
      </c>
      <c r="D211" s="15"/>
      <c r="E211" s="15"/>
      <c r="F211" s="15" t="s">
        <v>2</v>
      </c>
      <c r="G211" s="19" t="s">
        <v>3</v>
      </c>
      <c r="H211" s="19" t="s">
        <v>3</v>
      </c>
      <c r="I211" s="19" t="s">
        <v>3</v>
      </c>
      <c r="J211" s="18" t="s">
        <v>4</v>
      </c>
      <c r="K211" s="19" t="s">
        <v>3</v>
      </c>
      <c r="L211" s="19" t="s">
        <v>3</v>
      </c>
      <c r="M211" s="15" t="s">
        <v>2</v>
      </c>
      <c r="N211" s="15" t="s">
        <v>5</v>
      </c>
      <c r="O211" s="15"/>
      <c r="P211" s="15" t="s">
        <v>2</v>
      </c>
      <c r="Q211" s="18" t="s">
        <v>6</v>
      </c>
      <c r="R211" s="15" t="s">
        <v>2</v>
      </c>
      <c r="S211" s="76" t="str">
        <f>S32</f>
        <v>------------------------</v>
      </c>
      <c r="T211" s="18" t="str">
        <f>+T166</f>
        <v>APPORTIONMENT</v>
      </c>
      <c r="U211" s="15" t="str">
        <f>+U166</f>
        <v>---------------------</v>
      </c>
      <c r="V211" s="15" t="s">
        <v>2</v>
      </c>
      <c r="W211" s="15"/>
      <c r="X211" s="15"/>
      <c r="Y211" s="15"/>
      <c r="Z211" s="1"/>
      <c r="AA211" s="1"/>
      <c r="AB211" s="38"/>
      <c r="AC211" s="1"/>
      <c r="AD211" s="1"/>
      <c r="AE211" s="1"/>
      <c r="AF211" s="1"/>
      <c r="AG211" s="1"/>
    </row>
    <row r="212" spans="1:33" ht="21">
      <c r="A212" s="15"/>
      <c r="B212" s="15" t="s">
        <v>2</v>
      </c>
      <c r="C212" s="15"/>
      <c r="D212" s="15"/>
      <c r="E212" s="15"/>
      <c r="F212" s="15" t="s">
        <v>2</v>
      </c>
      <c r="G212" s="15"/>
      <c r="H212" s="15"/>
      <c r="I212" s="15"/>
      <c r="J212" s="15"/>
      <c r="K212" s="15"/>
      <c r="L212" s="15"/>
      <c r="M212" s="15" t="s">
        <v>2</v>
      </c>
      <c r="N212" s="15"/>
      <c r="O212" s="20" t="s">
        <v>8</v>
      </c>
      <c r="P212" s="15" t="s">
        <v>2</v>
      </c>
      <c r="Q212" s="15"/>
      <c r="R212" s="15" t="s">
        <v>2</v>
      </c>
      <c r="S212" s="76"/>
      <c r="T212" s="15"/>
      <c r="U212" s="15"/>
      <c r="V212" s="15" t="s">
        <v>2</v>
      </c>
      <c r="W212" s="15"/>
      <c r="X212" s="15"/>
      <c r="Y212" s="15"/>
      <c r="Z212" s="1"/>
      <c r="AA212" s="1"/>
      <c r="AB212" s="38"/>
      <c r="AC212" s="1"/>
      <c r="AD212" s="1"/>
      <c r="AE212" s="1"/>
      <c r="AF212" s="1"/>
      <c r="AG212" s="1"/>
    </row>
    <row r="213" spans="1:33" ht="21">
      <c r="A213" s="15"/>
      <c r="B213" s="15" t="s">
        <v>2</v>
      </c>
      <c r="C213" s="15"/>
      <c r="D213" s="15"/>
      <c r="E213" s="18" t="s">
        <v>9</v>
      </c>
      <c r="F213" s="15" t="s">
        <v>2</v>
      </c>
      <c r="G213" s="15"/>
      <c r="H213" s="15"/>
      <c r="I213" s="15"/>
      <c r="J213" s="20" t="s">
        <v>10</v>
      </c>
      <c r="K213" s="20" t="s">
        <v>11</v>
      </c>
      <c r="L213" s="15"/>
      <c r="M213" s="15" t="s">
        <v>2</v>
      </c>
      <c r="N213" s="15"/>
      <c r="O213" s="20" t="s">
        <v>12</v>
      </c>
      <c r="P213" s="15" t="s">
        <v>2</v>
      </c>
      <c r="Q213" s="18" t="s">
        <v>13</v>
      </c>
      <c r="R213" s="15" t="s">
        <v>2</v>
      </c>
      <c r="S213" s="76"/>
      <c r="U213" s="15"/>
      <c r="V213" s="15" t="s">
        <v>2</v>
      </c>
      <c r="W213" s="15"/>
      <c r="X213" s="15"/>
      <c r="Y213" s="15"/>
      <c r="Z213" s="1"/>
      <c r="AA213" s="1"/>
      <c r="AB213" s="38"/>
      <c r="AC213" s="1"/>
      <c r="AD213" s="1"/>
      <c r="AE213" s="1"/>
      <c r="AF213" s="1"/>
      <c r="AG213" s="1"/>
    </row>
    <row r="214" spans="1:33" ht="21">
      <c r="A214" s="15"/>
      <c r="B214" s="15" t="s">
        <v>2</v>
      </c>
      <c r="C214" s="15"/>
      <c r="D214" s="18" t="s">
        <v>14</v>
      </c>
      <c r="E214" s="18" t="s">
        <v>15</v>
      </c>
      <c r="F214" s="15" t="s">
        <v>2</v>
      </c>
      <c r="G214" s="20" t="s">
        <v>215</v>
      </c>
      <c r="H214" s="20" t="s">
        <v>16</v>
      </c>
      <c r="I214" s="20" t="s">
        <v>17</v>
      </c>
      <c r="J214" s="20" t="s">
        <v>18</v>
      </c>
      <c r="K214" s="20" t="s">
        <v>19</v>
      </c>
      <c r="L214" s="20" t="s">
        <v>9</v>
      </c>
      <c r="M214" s="15" t="s">
        <v>2</v>
      </c>
      <c r="N214" s="20" t="s">
        <v>20</v>
      </c>
      <c r="O214" s="20" t="s">
        <v>21</v>
      </c>
      <c r="P214" s="15" t="s">
        <v>2</v>
      </c>
      <c r="Q214" s="20" t="s">
        <v>22</v>
      </c>
      <c r="R214" s="15" t="s">
        <v>2</v>
      </c>
      <c r="S214" s="76"/>
      <c r="T214" s="9" t="s">
        <v>23</v>
      </c>
      <c r="U214" s="15"/>
      <c r="V214" s="15" t="s">
        <v>2</v>
      </c>
      <c r="W214" s="15"/>
      <c r="X214" s="15"/>
      <c r="Y214" s="15"/>
      <c r="Z214" s="1"/>
      <c r="AA214" s="1"/>
      <c r="AB214" s="38"/>
      <c r="AC214" s="1"/>
      <c r="AD214" s="1"/>
      <c r="AE214" s="1"/>
      <c r="AF214" s="1"/>
      <c r="AG214" s="1"/>
    </row>
    <row r="215" spans="1:45" ht="22.5">
      <c r="A215" s="15"/>
      <c r="B215" s="15" t="s">
        <v>2</v>
      </c>
      <c r="C215" s="18" t="s">
        <v>15</v>
      </c>
      <c r="D215" s="18" t="s">
        <v>25</v>
      </c>
      <c r="E215" s="18" t="s">
        <v>14</v>
      </c>
      <c r="F215" s="15" t="s">
        <v>2</v>
      </c>
      <c r="G215" s="20" t="s">
        <v>216</v>
      </c>
      <c r="H215" s="20" t="s">
        <v>26</v>
      </c>
      <c r="I215" s="20" t="s">
        <v>16</v>
      </c>
      <c r="J215" s="20" t="s">
        <v>27</v>
      </c>
      <c r="K215" s="20" t="s">
        <v>28</v>
      </c>
      <c r="L215" s="20" t="s">
        <v>29</v>
      </c>
      <c r="M215" s="15" t="s">
        <v>2</v>
      </c>
      <c r="N215" s="20" t="s">
        <v>15</v>
      </c>
      <c r="O215" s="20" t="s">
        <v>30</v>
      </c>
      <c r="P215" s="15" t="s">
        <v>2</v>
      </c>
      <c r="Q215" s="20" t="s">
        <v>12</v>
      </c>
      <c r="R215" s="15" t="s">
        <v>2</v>
      </c>
      <c r="T215" s="18" t="str">
        <f>+T170</f>
        <v>Extra</v>
      </c>
      <c r="U215" s="20" t="s">
        <v>31</v>
      </c>
      <c r="V215" s="15" t="s">
        <v>2</v>
      </c>
      <c r="W215" s="15"/>
      <c r="X215" s="15"/>
      <c r="Y215" s="15"/>
      <c r="Z215" s="1"/>
      <c r="AA215" s="1"/>
      <c r="AB215" s="38"/>
      <c r="AC215" s="1"/>
      <c r="AD215" s="1"/>
      <c r="AE215" s="1"/>
      <c r="AF215" s="1"/>
      <c r="AG215" s="1"/>
      <c r="AK215" s="60" t="s">
        <v>513</v>
      </c>
      <c r="AS215" s="60" t="s">
        <v>505</v>
      </c>
    </row>
    <row r="216" spans="1:33" ht="21">
      <c r="A216" s="15"/>
      <c r="B216" s="15" t="s">
        <v>2</v>
      </c>
      <c r="C216" s="18" t="s">
        <v>14</v>
      </c>
      <c r="D216" s="18" t="s">
        <v>33</v>
      </c>
      <c r="E216" s="18" t="s">
        <v>34</v>
      </c>
      <c r="F216" s="15" t="s">
        <v>2</v>
      </c>
      <c r="G216" s="20" t="s">
        <v>35</v>
      </c>
      <c r="H216" s="20" t="s">
        <v>36</v>
      </c>
      <c r="I216" s="20" t="s">
        <v>37</v>
      </c>
      <c r="J216" s="20" t="s">
        <v>38</v>
      </c>
      <c r="K216" s="20" t="s">
        <v>39</v>
      </c>
      <c r="L216" s="20" t="s">
        <v>40</v>
      </c>
      <c r="M216" s="15" t="s">
        <v>2</v>
      </c>
      <c r="N216" s="20" t="s">
        <v>14</v>
      </c>
      <c r="O216" s="20" t="s">
        <v>41</v>
      </c>
      <c r="P216" s="15" t="s">
        <v>2</v>
      </c>
      <c r="Q216" s="22">
        <f>Q10</f>
        <v>0.25577674211452567</v>
      </c>
      <c r="R216" s="15" t="s">
        <v>2</v>
      </c>
      <c r="S216" s="80" t="str">
        <f>+S171</f>
        <v>Apportionment</v>
      </c>
      <c r="T216" s="18" t="str">
        <f>+T171</f>
        <v>Mile</v>
      </c>
      <c r="U216" s="20" t="s">
        <v>42</v>
      </c>
      <c r="V216" s="15" t="s">
        <v>2</v>
      </c>
      <c r="W216" s="23"/>
      <c r="X216" s="23"/>
      <c r="Y216" s="23"/>
      <c r="Z216" s="1"/>
      <c r="AA216" s="1"/>
      <c r="AB216" s="38"/>
      <c r="AC216" s="1"/>
      <c r="AD216" s="1"/>
      <c r="AE216" s="1"/>
      <c r="AF216" s="1"/>
      <c r="AG216" s="1"/>
    </row>
    <row r="217" spans="1:65" ht="101.25" thickBot="1">
      <c r="A217" s="19" t="s">
        <v>3</v>
      </c>
      <c r="B217" s="15"/>
      <c r="C217" s="19" t="s">
        <v>3</v>
      </c>
      <c r="D217" s="19" t="s">
        <v>3</v>
      </c>
      <c r="E217" s="19" t="s">
        <v>3</v>
      </c>
      <c r="F217" s="15"/>
      <c r="G217" s="19" t="s">
        <v>3</v>
      </c>
      <c r="H217" s="19" t="s">
        <v>3</v>
      </c>
      <c r="I217" s="19" t="s">
        <v>3</v>
      </c>
      <c r="J217" s="19" t="s">
        <v>3</v>
      </c>
      <c r="K217" s="19" t="s">
        <v>3</v>
      </c>
      <c r="L217" s="19" t="s">
        <v>3</v>
      </c>
      <c r="M217" s="15"/>
      <c r="N217" s="19" t="s">
        <v>3</v>
      </c>
      <c r="O217" s="19" t="s">
        <v>3</v>
      </c>
      <c r="P217" s="15"/>
      <c r="Q217" s="19" t="s">
        <v>3</v>
      </c>
      <c r="R217" s="15"/>
      <c r="S217" s="78" t="s">
        <v>3</v>
      </c>
      <c r="T217" s="19" t="s">
        <v>3</v>
      </c>
      <c r="U217" s="19" t="s">
        <v>3</v>
      </c>
      <c r="V217" s="15"/>
      <c r="W217" s="15"/>
      <c r="X217" s="69" t="s">
        <v>577</v>
      </c>
      <c r="Y217" s="69" t="s">
        <v>508</v>
      </c>
      <c r="Z217" s="24">
        <v>2020</v>
      </c>
      <c r="AA217" s="24">
        <v>2019</v>
      </c>
      <c r="AB217" s="24">
        <v>2018</v>
      </c>
      <c r="AC217" s="25" t="s">
        <v>394</v>
      </c>
      <c r="AD217" s="26"/>
      <c r="AE217" s="1"/>
      <c r="AF217" s="1"/>
      <c r="AG217" s="1"/>
      <c r="AK217" s="27" t="s">
        <v>379</v>
      </c>
      <c r="AL217" s="27" t="s">
        <v>380</v>
      </c>
      <c r="AM217" s="27" t="s">
        <v>381</v>
      </c>
      <c r="AN217" s="27" t="s">
        <v>382</v>
      </c>
      <c r="AO217" s="27" t="s">
        <v>383</v>
      </c>
      <c r="AS217" s="27" t="s">
        <v>379</v>
      </c>
      <c r="AT217" s="27" t="s">
        <v>380</v>
      </c>
      <c r="AU217" s="27" t="s">
        <v>381</v>
      </c>
      <c r="AV217" s="27" t="s">
        <v>382</v>
      </c>
      <c r="AW217" s="27" t="s">
        <v>383</v>
      </c>
      <c r="BI217" s="27" t="s">
        <v>379</v>
      </c>
      <c r="BJ217" s="27" t="s">
        <v>380</v>
      </c>
      <c r="BK217" s="27" t="s">
        <v>381</v>
      </c>
      <c r="BL217" s="27" t="s">
        <v>382</v>
      </c>
      <c r="BM217" s="27" t="s">
        <v>383</v>
      </c>
    </row>
    <row r="218" spans="1:65" ht="21">
      <c r="A218" s="15" t="s">
        <v>116</v>
      </c>
      <c r="B218" s="28"/>
      <c r="C218" s="29">
        <f aca="true" t="shared" si="84" ref="C218:C231">AK218</f>
        <v>91915</v>
      </c>
      <c r="D218" s="21">
        <f aca="true" t="shared" si="85" ref="D218:D231">AL218</f>
        <v>148</v>
      </c>
      <c r="E218" s="15">
        <f>D218+C218</f>
        <v>92063</v>
      </c>
      <c r="F218" s="15"/>
      <c r="G218" s="15">
        <f aca="true" t="shared" si="86" ref="G218:G231">AM218</f>
        <v>0</v>
      </c>
      <c r="H218" s="21">
        <f aca="true" t="shared" si="87" ref="H218:H231">AN218</f>
        <v>14515</v>
      </c>
      <c r="I218" s="15">
        <f aca="true" t="shared" si="88" ref="I218:I231">H218*0.5</f>
        <v>7257.5</v>
      </c>
      <c r="J218" s="21">
        <f aca="true" t="shared" si="89" ref="J218:J231">AO218</f>
        <v>0</v>
      </c>
      <c r="K218" s="15">
        <f>J218*0.25</f>
        <v>0</v>
      </c>
      <c r="L218" s="15">
        <f>+G218+I218+K218</f>
        <v>7257.5</v>
      </c>
      <c r="M218" s="15"/>
      <c r="N218" s="15">
        <f>E218-L218</f>
        <v>84805.5</v>
      </c>
      <c r="O218" s="15">
        <f>IF(N218&gt;=4000,(N218-4000)*0.9+2200,IF(N218&gt;=3000,(N218-3000)*0.8+1400,IF(N218&gt;=2000,(N218-2000)*0.6+800,IF(N218&gt;0,N218*0.4,0))))</f>
        <v>74924.95</v>
      </c>
      <c r="P218" s="15"/>
      <c r="Q218" s="30" t="s">
        <v>44</v>
      </c>
      <c r="R218" s="15"/>
      <c r="S218" s="76">
        <f>ROUND(SUM(O218*$Q$10),0)</f>
        <v>19164</v>
      </c>
      <c r="T218" s="15">
        <f>ROUND(SUM(S218*0.1),0)</f>
        <v>1916</v>
      </c>
      <c r="U218" s="15">
        <f>SUM(S218:T218)</f>
        <v>21080</v>
      </c>
      <c r="V218" s="15"/>
      <c r="W218" s="15" t="s">
        <v>116</v>
      </c>
      <c r="X218" s="15">
        <f>S218</f>
        <v>19164</v>
      </c>
      <c r="Y218" s="15">
        <v>19355</v>
      </c>
      <c r="Z218" s="15">
        <v>21351</v>
      </c>
      <c r="AA218" s="15">
        <v>19728</v>
      </c>
      <c r="AB218" s="40">
        <v>19700</v>
      </c>
      <c r="AC218" s="15">
        <f>Z218-AA218</f>
        <v>1623</v>
      </c>
      <c r="AD218" s="1"/>
      <c r="AE218" s="3">
        <v>1</v>
      </c>
      <c r="AF218" s="15" t="s">
        <v>116</v>
      </c>
      <c r="AG218" s="15">
        <v>19728</v>
      </c>
      <c r="AJ218" s="81" t="s">
        <v>447</v>
      </c>
      <c r="AK218" s="81">
        <v>91915</v>
      </c>
      <c r="AL218" s="81">
        <v>148</v>
      </c>
      <c r="AM218" s="81">
        <v>0</v>
      </c>
      <c r="AN218" s="81">
        <v>14515</v>
      </c>
      <c r="AO218" s="81">
        <v>0</v>
      </c>
      <c r="AR218" s="32" t="s">
        <v>362</v>
      </c>
      <c r="AS218" s="57">
        <v>98283</v>
      </c>
      <c r="AT218" s="57">
        <v>1401</v>
      </c>
      <c r="AU218" s="57">
        <v>0</v>
      </c>
      <c r="AV218" s="57">
        <v>15899</v>
      </c>
      <c r="AW218" s="57">
        <v>0</v>
      </c>
      <c r="AZ218" s="32" t="s">
        <v>447</v>
      </c>
      <c r="BA218" s="57">
        <v>98283</v>
      </c>
      <c r="BB218" s="57">
        <v>1401</v>
      </c>
      <c r="BC218" s="57">
        <v>0</v>
      </c>
      <c r="BD218" s="57">
        <v>15899</v>
      </c>
      <c r="BE218" s="57">
        <v>0</v>
      </c>
      <c r="BF218" s="50"/>
      <c r="BG218" s="43"/>
      <c r="BH218" s="32" t="s">
        <v>362</v>
      </c>
      <c r="BI218" s="33">
        <v>103349</v>
      </c>
      <c r="BJ218" s="33">
        <v>1135</v>
      </c>
      <c r="BK218" s="33">
        <f>56800-56800</f>
        <v>0</v>
      </c>
      <c r="BL218" s="33">
        <v>15399</v>
      </c>
      <c r="BM218" s="33">
        <v>0</v>
      </c>
    </row>
    <row r="219" spans="1:65" ht="21">
      <c r="A219" s="15" t="s">
        <v>199</v>
      </c>
      <c r="B219" s="28"/>
      <c r="C219" s="29">
        <f t="shared" si="84"/>
        <v>35180.56</v>
      </c>
      <c r="D219" s="21">
        <f t="shared" si="85"/>
        <v>514.74</v>
      </c>
      <c r="E219" s="15">
        <f aca="true" t="shared" si="90" ref="E219:E231">D219+C219</f>
        <v>35695.299999999996</v>
      </c>
      <c r="F219" s="15"/>
      <c r="G219" s="15">
        <f t="shared" si="86"/>
        <v>0</v>
      </c>
      <c r="H219" s="21">
        <f t="shared" si="87"/>
        <v>5093.7</v>
      </c>
      <c r="I219" s="15">
        <f t="shared" si="88"/>
        <v>2546.85</v>
      </c>
      <c r="J219" s="21">
        <f t="shared" si="89"/>
        <v>0</v>
      </c>
      <c r="K219" s="15">
        <f>J219*0.25</f>
        <v>0</v>
      </c>
      <c r="L219" s="15">
        <f>+G219+I219+K219</f>
        <v>2546.85</v>
      </c>
      <c r="M219" s="15"/>
      <c r="N219" s="15">
        <f>E219-L219</f>
        <v>33148.45</v>
      </c>
      <c r="O219" s="15">
        <f aca="true" t="shared" si="91" ref="O219:O226">IF(N219&gt;=4000,(N219-4000)*0.9+2200,IF(N219&gt;=3000,(N219-3000)*0.8+1400,IF(N219&gt;=2000,(N219-2000)*0.6+800,IF(N219&gt;0,N219*0.4,0))))</f>
        <v>28433.605</v>
      </c>
      <c r="P219" s="15"/>
      <c r="Q219" s="30" t="s">
        <v>44</v>
      </c>
      <c r="R219" s="15"/>
      <c r="S219" s="76">
        <f aca="true" t="shared" si="92" ref="S219:S226">ROUND(SUM(O219*$Q$10),0)</f>
        <v>7273</v>
      </c>
      <c r="T219" s="15">
        <f aca="true" t="shared" si="93" ref="T219:T226">ROUND(SUM(S219*0.1),0)</f>
        <v>727</v>
      </c>
      <c r="U219" s="15">
        <f aca="true" t="shared" si="94" ref="U219:U226">SUM(S219:T219)</f>
        <v>8000</v>
      </c>
      <c r="V219" s="15"/>
      <c r="W219" s="15" t="s">
        <v>199</v>
      </c>
      <c r="X219" s="15">
        <f aca="true" t="shared" si="95" ref="X219:X231">S219</f>
        <v>7273</v>
      </c>
      <c r="Y219" s="15">
        <v>7237</v>
      </c>
      <c r="Z219" s="15">
        <v>8021</v>
      </c>
      <c r="AA219" s="15">
        <v>6076</v>
      </c>
      <c r="AB219" s="40">
        <v>6989</v>
      </c>
      <c r="AC219" s="15">
        <f aca="true" t="shared" si="96" ref="AC219:AC235">Z219-AA219</f>
        <v>1945</v>
      </c>
      <c r="AD219" s="1"/>
      <c r="AE219" s="3">
        <v>1</v>
      </c>
      <c r="AF219" s="15" t="s">
        <v>199</v>
      </c>
      <c r="AG219" s="15">
        <v>6076</v>
      </c>
      <c r="AJ219" s="81" t="s">
        <v>543</v>
      </c>
      <c r="AK219" s="81">
        <v>35180.56</v>
      </c>
      <c r="AL219" s="81">
        <v>514.74</v>
      </c>
      <c r="AM219" s="81">
        <v>0</v>
      </c>
      <c r="AN219" s="81">
        <v>5093.7</v>
      </c>
      <c r="AO219" s="81">
        <v>0</v>
      </c>
      <c r="AR219" s="32" t="s">
        <v>363</v>
      </c>
      <c r="AS219" s="57">
        <v>37320</v>
      </c>
      <c r="AT219" s="57">
        <v>747</v>
      </c>
      <c r="AU219" s="57">
        <v>0</v>
      </c>
      <c r="AV219" s="57">
        <v>5586</v>
      </c>
      <c r="AW219" s="57">
        <v>0</v>
      </c>
      <c r="AZ219" s="32" t="s">
        <v>448</v>
      </c>
      <c r="BA219" s="57">
        <v>37320</v>
      </c>
      <c r="BB219" s="57">
        <v>747</v>
      </c>
      <c r="BC219" s="57">
        <v>0</v>
      </c>
      <c r="BD219" s="57">
        <v>5586</v>
      </c>
      <c r="BE219" s="57">
        <v>0</v>
      </c>
      <c r="BF219" s="50"/>
      <c r="BG219" s="43"/>
      <c r="BH219" s="32" t="s">
        <v>363</v>
      </c>
      <c r="BI219" s="33">
        <v>38548.49</v>
      </c>
      <c r="BJ219" s="33">
        <v>1488.48</v>
      </c>
      <c r="BK219" s="33"/>
      <c r="BL219" s="33">
        <v>5411</v>
      </c>
      <c r="BM219" s="33"/>
    </row>
    <row r="220" spans="1:65" ht="21">
      <c r="A220" s="15" t="s">
        <v>117</v>
      </c>
      <c r="B220" s="28"/>
      <c r="C220" s="29">
        <f t="shared" si="84"/>
        <v>185240</v>
      </c>
      <c r="D220" s="21">
        <f t="shared" si="85"/>
        <v>0</v>
      </c>
      <c r="E220" s="15">
        <f t="shared" si="90"/>
        <v>185240</v>
      </c>
      <c r="F220" s="15"/>
      <c r="G220" s="15">
        <f t="shared" si="86"/>
        <v>0</v>
      </c>
      <c r="H220" s="21">
        <f t="shared" si="87"/>
        <v>17500</v>
      </c>
      <c r="I220" s="15">
        <f t="shared" si="88"/>
        <v>8750</v>
      </c>
      <c r="J220" s="21">
        <f t="shared" si="89"/>
        <v>0</v>
      </c>
      <c r="K220" s="15">
        <f>J220*0.25</f>
        <v>0</v>
      </c>
      <c r="L220" s="15">
        <f>+G220+I220+K220</f>
        <v>8750</v>
      </c>
      <c r="M220" s="15"/>
      <c r="N220" s="15">
        <f>E220-L220</f>
        <v>176490</v>
      </c>
      <c r="O220" s="15">
        <f t="shared" si="91"/>
        <v>157441</v>
      </c>
      <c r="P220" s="15"/>
      <c r="Q220" s="30" t="s">
        <v>44</v>
      </c>
      <c r="R220" s="15"/>
      <c r="S220" s="76">
        <f t="shared" si="92"/>
        <v>40270</v>
      </c>
      <c r="T220" s="15">
        <f t="shared" si="93"/>
        <v>4027</v>
      </c>
      <c r="U220" s="15">
        <f t="shared" si="94"/>
        <v>44297</v>
      </c>
      <c r="V220" s="15"/>
      <c r="W220" s="15" t="s">
        <v>117</v>
      </c>
      <c r="X220" s="15">
        <f t="shared" si="95"/>
        <v>40270</v>
      </c>
      <c r="Y220" s="15">
        <v>41849</v>
      </c>
      <c r="Z220" s="15">
        <v>38357</v>
      </c>
      <c r="AA220" s="15">
        <v>27092</v>
      </c>
      <c r="AB220" s="40">
        <v>29143</v>
      </c>
      <c r="AC220" s="15">
        <f t="shared" si="96"/>
        <v>11265</v>
      </c>
      <c r="AD220" s="1"/>
      <c r="AE220" s="3">
        <v>1</v>
      </c>
      <c r="AF220" s="15" t="s">
        <v>117</v>
      </c>
      <c r="AG220" s="15">
        <v>27092</v>
      </c>
      <c r="AJ220" s="81" t="s">
        <v>360</v>
      </c>
      <c r="AK220" s="83">
        <v>185240</v>
      </c>
      <c r="AL220" s="81">
        <v>0</v>
      </c>
      <c r="AM220" s="81">
        <v>0</v>
      </c>
      <c r="AN220" s="83">
        <v>17500</v>
      </c>
      <c r="AO220" s="81">
        <v>0</v>
      </c>
      <c r="AR220" s="32" t="s">
        <v>360</v>
      </c>
      <c r="AS220" s="57">
        <v>204699</v>
      </c>
      <c r="AT220" s="57">
        <v>0</v>
      </c>
      <c r="AU220" s="57">
        <v>0</v>
      </c>
      <c r="AV220" s="57">
        <v>16320</v>
      </c>
      <c r="AW220" s="57">
        <v>0</v>
      </c>
      <c r="AZ220" s="32" t="s">
        <v>449</v>
      </c>
      <c r="BA220" s="57">
        <v>204699</v>
      </c>
      <c r="BB220" s="57">
        <v>0</v>
      </c>
      <c r="BC220" s="57">
        <v>0</v>
      </c>
      <c r="BD220" s="57">
        <v>16320</v>
      </c>
      <c r="BE220" s="57">
        <v>0</v>
      </c>
      <c r="BF220" s="50"/>
      <c r="BG220" s="43"/>
      <c r="BH220" s="32" t="s">
        <v>360</v>
      </c>
      <c r="BI220" s="33">
        <f>185384-6665.91</f>
        <v>178718.09</v>
      </c>
      <c r="BJ220" s="33">
        <v>0</v>
      </c>
      <c r="BK220" s="33">
        <v>0</v>
      </c>
      <c r="BL220" s="33">
        <v>12170</v>
      </c>
      <c r="BM220" s="33">
        <v>0</v>
      </c>
    </row>
    <row r="221" spans="1:65" ht="21">
      <c r="A221" s="15" t="s">
        <v>397</v>
      </c>
      <c r="B221" s="28"/>
      <c r="C221" s="29">
        <f t="shared" si="84"/>
        <v>163164</v>
      </c>
      <c r="D221" s="21">
        <f t="shared" si="85"/>
        <v>0</v>
      </c>
      <c r="E221" s="15">
        <f t="shared" si="90"/>
        <v>163164</v>
      </c>
      <c r="F221" s="15"/>
      <c r="G221" s="15">
        <f t="shared" si="86"/>
        <v>0</v>
      </c>
      <c r="H221" s="21">
        <f t="shared" si="87"/>
        <v>17500</v>
      </c>
      <c r="I221" s="15">
        <f t="shared" si="88"/>
        <v>8750</v>
      </c>
      <c r="J221" s="21">
        <f t="shared" si="89"/>
        <v>0</v>
      </c>
      <c r="K221" s="15">
        <f>J221*0.25</f>
        <v>0</v>
      </c>
      <c r="L221" s="15">
        <f>+G221+I221+K221</f>
        <v>8750</v>
      </c>
      <c r="M221" s="15"/>
      <c r="N221" s="15">
        <f>E221-L221</f>
        <v>154414</v>
      </c>
      <c r="O221" s="15">
        <f t="shared" si="91"/>
        <v>137572.6</v>
      </c>
      <c r="P221" s="15"/>
      <c r="Q221" s="30" t="s">
        <v>44</v>
      </c>
      <c r="R221" s="15"/>
      <c r="S221" s="76">
        <f t="shared" si="92"/>
        <v>35188</v>
      </c>
      <c r="T221" s="15">
        <f t="shared" si="93"/>
        <v>3519</v>
      </c>
      <c r="U221" s="15">
        <f t="shared" si="94"/>
        <v>38707</v>
      </c>
      <c r="V221" s="15"/>
      <c r="W221" s="15" t="s">
        <v>404</v>
      </c>
      <c r="X221" s="15">
        <f t="shared" si="95"/>
        <v>35188</v>
      </c>
      <c r="Y221" s="15">
        <v>39195</v>
      </c>
      <c r="Z221" s="15">
        <v>34427</v>
      </c>
      <c r="AA221" s="15">
        <v>38000</v>
      </c>
      <c r="AB221" s="40">
        <v>38000</v>
      </c>
      <c r="AC221" s="15">
        <f t="shared" si="96"/>
        <v>-3573</v>
      </c>
      <c r="AD221" s="1"/>
      <c r="AE221" s="3">
        <v>1</v>
      </c>
      <c r="AF221" s="15" t="s">
        <v>390</v>
      </c>
      <c r="AG221" s="15">
        <v>38000</v>
      </c>
      <c r="AJ221" s="81" t="s">
        <v>542</v>
      </c>
      <c r="AK221" s="81">
        <v>163164</v>
      </c>
      <c r="AL221" s="81">
        <v>0</v>
      </c>
      <c r="AM221" s="81">
        <v>0</v>
      </c>
      <c r="AN221" s="81">
        <v>17500</v>
      </c>
      <c r="AO221" s="81">
        <v>0</v>
      </c>
      <c r="AR221" s="32" t="s">
        <v>364</v>
      </c>
      <c r="AS221" s="57">
        <v>189853.67</v>
      </c>
      <c r="AT221" s="57">
        <v>1949.25</v>
      </c>
      <c r="AU221" s="57">
        <v>0</v>
      </c>
      <c r="AV221" s="57">
        <v>15257</v>
      </c>
      <c r="AW221" s="57">
        <v>0</v>
      </c>
      <c r="AZ221" s="32" t="s">
        <v>507</v>
      </c>
      <c r="BA221" s="57">
        <v>189853.67</v>
      </c>
      <c r="BB221" s="57">
        <v>1949.25</v>
      </c>
      <c r="BC221" s="57">
        <v>0</v>
      </c>
      <c r="BD221" s="57">
        <v>15257</v>
      </c>
      <c r="BE221" s="57">
        <v>0</v>
      </c>
      <c r="BF221" s="50"/>
      <c r="BG221" s="43"/>
      <c r="BH221" s="32" t="s">
        <v>364</v>
      </c>
      <c r="BI221" s="33">
        <v>154768</v>
      </c>
      <c r="BJ221" s="33">
        <v>2806</v>
      </c>
      <c r="BK221" s="33">
        <v>111</v>
      </c>
      <c r="BL221" s="33">
        <v>4720</v>
      </c>
      <c r="BM221" s="33">
        <v>0</v>
      </c>
    </row>
    <row r="222" spans="1:59" ht="21">
      <c r="A222" s="15" t="s">
        <v>200</v>
      </c>
      <c r="B222" s="28"/>
      <c r="C222" s="29">
        <f t="shared" si="84"/>
        <v>0</v>
      </c>
      <c r="D222" s="21">
        <f t="shared" si="85"/>
        <v>0</v>
      </c>
      <c r="E222" s="15">
        <f t="shared" si="90"/>
        <v>0</v>
      </c>
      <c r="F222" s="15"/>
      <c r="G222" s="15">
        <f t="shared" si="86"/>
        <v>0</v>
      </c>
      <c r="H222" s="21">
        <f t="shared" si="87"/>
        <v>0</v>
      </c>
      <c r="I222" s="15">
        <f t="shared" si="88"/>
        <v>0</v>
      </c>
      <c r="J222" s="21">
        <f t="shared" si="89"/>
        <v>0</v>
      </c>
      <c r="K222" s="15"/>
      <c r="L222" s="15"/>
      <c r="M222" s="15"/>
      <c r="N222" s="15"/>
      <c r="O222" s="15"/>
      <c r="P222" s="15"/>
      <c r="Q222" s="30"/>
      <c r="R222" s="15"/>
      <c r="S222" s="76"/>
      <c r="T222" s="15"/>
      <c r="U222" s="15"/>
      <c r="V222" s="15"/>
      <c r="W222" s="15" t="s">
        <v>200</v>
      </c>
      <c r="X222" s="15">
        <f t="shared" si="95"/>
        <v>0</v>
      </c>
      <c r="Y222" s="15">
        <v>0</v>
      </c>
      <c r="Z222" s="15"/>
      <c r="AA222" s="15"/>
      <c r="AB222" s="40"/>
      <c r="AC222" s="15">
        <f t="shared" si="96"/>
        <v>0</v>
      </c>
      <c r="AD222" s="1"/>
      <c r="AF222" s="15" t="s">
        <v>200</v>
      </c>
      <c r="AG222" s="15"/>
      <c r="AJ222" s="81"/>
      <c r="AK222" s="83"/>
      <c r="AL222" s="81"/>
      <c r="AM222" s="81"/>
      <c r="AN222" s="83"/>
      <c r="AO222" s="81"/>
      <c r="AS222" s="57"/>
      <c r="AT222" s="57"/>
      <c r="AU222" s="57"/>
      <c r="AV222" s="57"/>
      <c r="AW222" s="57"/>
      <c r="AZ222" s="32"/>
      <c r="BA222" s="57"/>
      <c r="BB222" s="57"/>
      <c r="BC222" s="57"/>
      <c r="BD222" s="57"/>
      <c r="BE222" s="57"/>
      <c r="BF222" s="50"/>
      <c r="BG222" s="43"/>
    </row>
    <row r="223" spans="1:65" ht="21">
      <c r="A223" s="15" t="s">
        <v>205</v>
      </c>
      <c r="B223" s="28"/>
      <c r="C223" s="29">
        <f t="shared" si="84"/>
        <v>21695.53</v>
      </c>
      <c r="D223" s="21">
        <f t="shared" si="85"/>
        <v>0</v>
      </c>
      <c r="E223" s="15">
        <f t="shared" si="90"/>
        <v>21695.53</v>
      </c>
      <c r="F223" s="15"/>
      <c r="G223" s="15">
        <f t="shared" si="86"/>
        <v>0</v>
      </c>
      <c r="H223" s="21">
        <f t="shared" si="87"/>
        <v>0</v>
      </c>
      <c r="I223" s="15">
        <f t="shared" si="88"/>
        <v>0</v>
      </c>
      <c r="J223" s="21">
        <f t="shared" si="89"/>
        <v>0</v>
      </c>
      <c r="K223" s="15">
        <f aca="true" t="shared" si="97" ref="K223:K231">J223*0.25</f>
        <v>0</v>
      </c>
      <c r="L223" s="15">
        <f aca="true" t="shared" si="98" ref="L223:L231">+G223+I223+K223</f>
        <v>0</v>
      </c>
      <c r="M223" s="15"/>
      <c r="N223" s="15">
        <f aca="true" t="shared" si="99" ref="N223:N231">E223-L223</f>
        <v>21695.53</v>
      </c>
      <c r="O223" s="15">
        <f t="shared" si="91"/>
        <v>18125.977</v>
      </c>
      <c r="P223" s="15"/>
      <c r="Q223" s="30" t="s">
        <v>44</v>
      </c>
      <c r="R223" s="15"/>
      <c r="S223" s="76">
        <f t="shared" si="92"/>
        <v>4636</v>
      </c>
      <c r="T223" s="15">
        <f t="shared" si="93"/>
        <v>464</v>
      </c>
      <c r="U223" s="15">
        <f t="shared" si="94"/>
        <v>5100</v>
      </c>
      <c r="V223" s="15"/>
      <c r="W223" s="15" t="s">
        <v>205</v>
      </c>
      <c r="X223" s="15">
        <f t="shared" si="95"/>
        <v>4636</v>
      </c>
      <c r="Y223" s="15">
        <v>4890</v>
      </c>
      <c r="Z223" s="15">
        <v>4691</v>
      </c>
      <c r="AA223" s="15">
        <v>4031</v>
      </c>
      <c r="AB223" s="40">
        <v>4064</v>
      </c>
      <c r="AC223" s="15">
        <f t="shared" si="96"/>
        <v>660</v>
      </c>
      <c r="AD223" s="1"/>
      <c r="AE223" s="3">
        <v>1</v>
      </c>
      <c r="AF223" s="15" t="s">
        <v>205</v>
      </c>
      <c r="AG223" s="15">
        <v>4031</v>
      </c>
      <c r="AJ223" s="81" t="s">
        <v>452</v>
      </c>
      <c r="AK223" s="82">
        <v>21695.53</v>
      </c>
      <c r="AL223" s="81">
        <v>0</v>
      </c>
      <c r="AM223" s="81">
        <v>0</v>
      </c>
      <c r="AN223" s="81">
        <v>0</v>
      </c>
      <c r="AO223" s="81">
        <v>0</v>
      </c>
      <c r="AR223" s="32" t="s">
        <v>357</v>
      </c>
      <c r="AS223" s="57">
        <v>24341</v>
      </c>
      <c r="AT223" s="57">
        <v>0</v>
      </c>
      <c r="AU223" s="57">
        <v>0</v>
      </c>
      <c r="AV223" s="57">
        <v>0</v>
      </c>
      <c r="AW223" s="57">
        <v>0</v>
      </c>
      <c r="AZ223" s="32" t="s">
        <v>452</v>
      </c>
      <c r="BA223" s="57">
        <v>24341</v>
      </c>
      <c r="BB223" s="57">
        <v>0</v>
      </c>
      <c r="BC223" s="57">
        <v>0</v>
      </c>
      <c r="BD223" s="57">
        <v>0</v>
      </c>
      <c r="BE223" s="57">
        <v>0</v>
      </c>
      <c r="BF223" s="50"/>
      <c r="BG223" s="43"/>
      <c r="BH223" s="32" t="s">
        <v>357</v>
      </c>
      <c r="BI223" s="33">
        <v>23424</v>
      </c>
      <c r="BJ223" s="33">
        <v>0</v>
      </c>
      <c r="BK223" s="33">
        <v>0</v>
      </c>
      <c r="BL223" s="33">
        <v>1889</v>
      </c>
      <c r="BM223" s="33">
        <v>0</v>
      </c>
    </row>
    <row r="224" spans="1:65" ht="21.75">
      <c r="A224" s="15" t="s">
        <v>204</v>
      </c>
      <c r="B224" s="62" t="s">
        <v>105</v>
      </c>
      <c r="C224" s="29">
        <f t="shared" si="84"/>
        <v>17209</v>
      </c>
      <c r="D224" s="21">
        <f t="shared" si="85"/>
        <v>0</v>
      </c>
      <c r="E224" s="15">
        <f t="shared" si="90"/>
        <v>17209</v>
      </c>
      <c r="F224" s="15"/>
      <c r="G224" s="15">
        <f t="shared" si="86"/>
        <v>0</v>
      </c>
      <c r="H224" s="21">
        <f t="shared" si="87"/>
        <v>0</v>
      </c>
      <c r="I224" s="15">
        <f t="shared" si="88"/>
        <v>0</v>
      </c>
      <c r="J224" s="21">
        <f t="shared" si="89"/>
        <v>0</v>
      </c>
      <c r="K224" s="15">
        <f t="shared" si="97"/>
        <v>0</v>
      </c>
      <c r="L224" s="15">
        <f t="shared" si="98"/>
        <v>0</v>
      </c>
      <c r="M224" s="15"/>
      <c r="N224" s="15">
        <f t="shared" si="99"/>
        <v>17209</v>
      </c>
      <c r="O224" s="15">
        <f t="shared" si="91"/>
        <v>14088.1</v>
      </c>
      <c r="P224" s="15"/>
      <c r="Q224" s="30" t="s">
        <v>44</v>
      </c>
      <c r="R224" s="15"/>
      <c r="S224" s="76">
        <f t="shared" si="92"/>
        <v>3603</v>
      </c>
      <c r="T224" s="15">
        <f t="shared" si="93"/>
        <v>360</v>
      </c>
      <c r="U224" s="15">
        <f t="shared" si="94"/>
        <v>3963</v>
      </c>
      <c r="V224" s="15"/>
      <c r="W224" s="15" t="s">
        <v>204</v>
      </c>
      <c r="X224" s="15">
        <f t="shared" si="95"/>
        <v>3603</v>
      </c>
      <c r="Y224" s="15">
        <v>3360</v>
      </c>
      <c r="Z224" s="15">
        <v>3491</v>
      </c>
      <c r="AA224" s="15">
        <v>3306</v>
      </c>
      <c r="AB224" s="40">
        <v>3191</v>
      </c>
      <c r="AC224" s="15">
        <f t="shared" si="96"/>
        <v>185</v>
      </c>
      <c r="AD224" s="1"/>
      <c r="AE224" s="3">
        <v>1</v>
      </c>
      <c r="AF224" s="15" t="s">
        <v>204</v>
      </c>
      <c r="AG224" s="15">
        <v>3306</v>
      </c>
      <c r="AJ224" s="89"/>
      <c r="AK224" s="91">
        <f aca="true" t="shared" si="100" ref="AK224:AO225">AS224</f>
        <v>17209</v>
      </c>
      <c r="AL224" s="91">
        <f t="shared" si="100"/>
        <v>0</v>
      </c>
      <c r="AM224" s="91">
        <f t="shared" si="100"/>
        <v>0</v>
      </c>
      <c r="AN224" s="91">
        <f t="shared" si="100"/>
        <v>0</v>
      </c>
      <c r="AO224" s="91">
        <f t="shared" si="100"/>
        <v>0</v>
      </c>
      <c r="AR224" s="32" t="s">
        <v>359</v>
      </c>
      <c r="AS224" s="57">
        <v>17209</v>
      </c>
      <c r="AT224" s="57"/>
      <c r="AU224" s="57">
        <v>0</v>
      </c>
      <c r="AV224" s="57">
        <v>0</v>
      </c>
      <c r="AW224" s="57">
        <v>0</v>
      </c>
      <c r="AZ224" s="32" t="s">
        <v>451</v>
      </c>
      <c r="BA224" s="57">
        <v>17209</v>
      </c>
      <c r="BB224" s="57"/>
      <c r="BC224" s="57">
        <v>0</v>
      </c>
      <c r="BD224" s="57">
        <v>0</v>
      </c>
      <c r="BE224" s="57">
        <v>0</v>
      </c>
      <c r="BF224" s="50"/>
      <c r="BG224" s="43"/>
      <c r="BH224" s="32" t="s">
        <v>359</v>
      </c>
      <c r="BI224" s="33">
        <v>17125</v>
      </c>
      <c r="BJ224" s="33">
        <v>0</v>
      </c>
      <c r="BK224" s="33">
        <v>0</v>
      </c>
      <c r="BL224" s="33">
        <v>0</v>
      </c>
      <c r="BM224" s="33">
        <v>0</v>
      </c>
    </row>
    <row r="225" spans="1:65" ht="21.75">
      <c r="A225" s="15" t="s">
        <v>203</v>
      </c>
      <c r="B225" s="62" t="s">
        <v>105</v>
      </c>
      <c r="C225" s="29">
        <f t="shared" si="84"/>
        <v>44835</v>
      </c>
      <c r="D225" s="21">
        <f t="shared" si="85"/>
        <v>0</v>
      </c>
      <c r="E225" s="15">
        <f t="shared" si="90"/>
        <v>44835</v>
      </c>
      <c r="F225" s="15"/>
      <c r="G225" s="15">
        <f t="shared" si="86"/>
        <v>0</v>
      </c>
      <c r="H225" s="21">
        <f t="shared" si="87"/>
        <v>0</v>
      </c>
      <c r="I225" s="15">
        <f t="shared" si="88"/>
        <v>0</v>
      </c>
      <c r="J225" s="21">
        <f t="shared" si="89"/>
        <v>0</v>
      </c>
      <c r="K225" s="15">
        <f t="shared" si="97"/>
        <v>0</v>
      </c>
      <c r="L225" s="15">
        <f t="shared" si="98"/>
        <v>0</v>
      </c>
      <c r="M225" s="15"/>
      <c r="N225" s="15">
        <f t="shared" si="99"/>
        <v>44835</v>
      </c>
      <c r="O225" s="15">
        <f t="shared" si="91"/>
        <v>38951.5</v>
      </c>
      <c r="P225" s="15"/>
      <c r="Q225" s="30" t="s">
        <v>44</v>
      </c>
      <c r="R225" s="15"/>
      <c r="S225" s="76">
        <f t="shared" si="92"/>
        <v>9963</v>
      </c>
      <c r="T225" s="15">
        <f t="shared" si="93"/>
        <v>996</v>
      </c>
      <c r="U225" s="15">
        <f t="shared" si="94"/>
        <v>10959</v>
      </c>
      <c r="V225" s="15"/>
      <c r="W225" s="15" t="s">
        <v>203</v>
      </c>
      <c r="X225" s="15">
        <f t="shared" si="95"/>
        <v>9963</v>
      </c>
      <c r="Y225" s="15">
        <v>9289</v>
      </c>
      <c r="Z225" s="15">
        <v>10925</v>
      </c>
      <c r="AA225" s="15">
        <v>9363</v>
      </c>
      <c r="AB225" s="40">
        <v>8506</v>
      </c>
      <c r="AC225" s="15">
        <f t="shared" si="96"/>
        <v>1562</v>
      </c>
      <c r="AD225" s="1"/>
      <c r="AE225" s="3">
        <v>1</v>
      </c>
      <c r="AF225" s="15" t="s">
        <v>203</v>
      </c>
      <c r="AG225" s="15">
        <v>9363</v>
      </c>
      <c r="AJ225" s="89"/>
      <c r="AK225" s="91">
        <f t="shared" si="100"/>
        <v>44835</v>
      </c>
      <c r="AL225" s="91">
        <f t="shared" si="100"/>
        <v>0</v>
      </c>
      <c r="AM225" s="91">
        <f t="shared" si="100"/>
        <v>0</v>
      </c>
      <c r="AN225" s="91">
        <f t="shared" si="100"/>
        <v>0</v>
      </c>
      <c r="AO225" s="91">
        <f t="shared" si="100"/>
        <v>0</v>
      </c>
      <c r="AR225" s="32" t="s">
        <v>365</v>
      </c>
      <c r="AS225" s="57">
        <v>44835</v>
      </c>
      <c r="AT225" s="57">
        <v>0</v>
      </c>
      <c r="AU225" s="57">
        <v>0</v>
      </c>
      <c r="AV225" s="57">
        <v>0</v>
      </c>
      <c r="AW225" s="57">
        <v>0</v>
      </c>
      <c r="AZ225" s="32" t="s">
        <v>365</v>
      </c>
      <c r="BA225" s="57">
        <v>44835</v>
      </c>
      <c r="BB225" s="57">
        <v>0</v>
      </c>
      <c r="BC225" s="57">
        <v>0</v>
      </c>
      <c r="BD225" s="57">
        <v>0</v>
      </c>
      <c r="BE225" s="57">
        <v>0</v>
      </c>
      <c r="BF225" s="50"/>
      <c r="BG225" s="43"/>
      <c r="BH225" s="32" t="s">
        <v>365</v>
      </c>
      <c r="BI225" s="33">
        <v>52067</v>
      </c>
      <c r="BJ225" s="33">
        <v>0</v>
      </c>
      <c r="BK225" s="33">
        <v>0</v>
      </c>
      <c r="BL225" s="33">
        <v>3570</v>
      </c>
      <c r="BM225" s="33">
        <v>0</v>
      </c>
    </row>
    <row r="226" spans="1:65" ht="21">
      <c r="A226" s="15" t="s">
        <v>202</v>
      </c>
      <c r="B226" s="28"/>
      <c r="C226" s="29">
        <f t="shared" si="84"/>
        <v>9688</v>
      </c>
      <c r="D226" s="21">
        <f t="shared" si="85"/>
        <v>2014</v>
      </c>
      <c r="E226" s="15">
        <f t="shared" si="90"/>
        <v>11702</v>
      </c>
      <c r="F226" s="15"/>
      <c r="G226" s="15">
        <f t="shared" si="86"/>
        <v>0</v>
      </c>
      <c r="H226" s="21">
        <f t="shared" si="87"/>
        <v>0</v>
      </c>
      <c r="I226" s="15">
        <f t="shared" si="88"/>
        <v>0</v>
      </c>
      <c r="J226" s="21">
        <f t="shared" si="89"/>
        <v>0</v>
      </c>
      <c r="K226" s="15">
        <f t="shared" si="97"/>
        <v>0</v>
      </c>
      <c r="L226" s="15">
        <f t="shared" si="98"/>
        <v>0</v>
      </c>
      <c r="M226" s="15"/>
      <c r="N226" s="15">
        <f t="shared" si="99"/>
        <v>11702</v>
      </c>
      <c r="O226" s="15">
        <f t="shared" si="91"/>
        <v>9131.8</v>
      </c>
      <c r="P226" s="15"/>
      <c r="Q226" s="30" t="s">
        <v>44</v>
      </c>
      <c r="R226" s="15"/>
      <c r="S226" s="76">
        <f t="shared" si="92"/>
        <v>2336</v>
      </c>
      <c r="T226" s="15">
        <f t="shared" si="93"/>
        <v>234</v>
      </c>
      <c r="U226" s="15">
        <f t="shared" si="94"/>
        <v>2570</v>
      </c>
      <c r="V226" s="15"/>
      <c r="W226" s="15" t="s">
        <v>202</v>
      </c>
      <c r="X226" s="15">
        <f t="shared" si="95"/>
        <v>2336</v>
      </c>
      <c r="Y226" s="15">
        <v>2564</v>
      </c>
      <c r="Z226" s="15">
        <v>2578</v>
      </c>
      <c r="AA226" s="15">
        <v>2295</v>
      </c>
      <c r="AB226" s="40">
        <v>2207</v>
      </c>
      <c r="AC226" s="15">
        <f t="shared" si="96"/>
        <v>283</v>
      </c>
      <c r="AD226" s="1"/>
      <c r="AE226" s="3">
        <v>1</v>
      </c>
      <c r="AF226" s="15" t="s">
        <v>202</v>
      </c>
      <c r="AG226" s="15">
        <v>2295</v>
      </c>
      <c r="AJ226" s="81" t="s">
        <v>361</v>
      </c>
      <c r="AK226" s="81">
        <v>9688</v>
      </c>
      <c r="AL226" s="81">
        <v>2014</v>
      </c>
      <c r="AM226" s="81">
        <v>0</v>
      </c>
      <c r="AN226" s="81">
        <v>0</v>
      </c>
      <c r="AO226" s="81">
        <v>0</v>
      </c>
      <c r="AR226" s="32" t="s">
        <v>361</v>
      </c>
      <c r="AS226" s="57">
        <v>11239</v>
      </c>
      <c r="AT226" s="57">
        <v>2263</v>
      </c>
      <c r="AU226" s="57">
        <v>0</v>
      </c>
      <c r="AV226" s="57">
        <v>0</v>
      </c>
      <c r="AW226" s="57"/>
      <c r="AZ226" s="32" t="s">
        <v>361</v>
      </c>
      <c r="BA226" s="57">
        <v>11239</v>
      </c>
      <c r="BB226" s="57">
        <v>2263</v>
      </c>
      <c r="BC226" s="57">
        <v>0</v>
      </c>
      <c r="BD226" s="57">
        <v>0</v>
      </c>
      <c r="BE226" s="57"/>
      <c r="BF226" s="50"/>
      <c r="BG226" s="43"/>
      <c r="BH226" s="32" t="s">
        <v>361</v>
      </c>
      <c r="BI226" s="33">
        <v>11330</v>
      </c>
      <c r="BJ226" s="33">
        <v>2234</v>
      </c>
      <c r="BK226" s="33">
        <v>0</v>
      </c>
      <c r="BL226" s="33">
        <v>1025</v>
      </c>
      <c r="BM226" s="33">
        <v>0</v>
      </c>
    </row>
    <row r="227" spans="1:65" ht="21">
      <c r="A227" s="15" t="s">
        <v>201</v>
      </c>
      <c r="B227" s="28"/>
      <c r="C227" s="29">
        <f t="shared" si="84"/>
        <v>29159</v>
      </c>
      <c r="D227" s="21">
        <f t="shared" si="85"/>
        <v>0</v>
      </c>
      <c r="E227" s="15">
        <f t="shared" si="90"/>
        <v>29159</v>
      </c>
      <c r="F227" s="15"/>
      <c r="G227" s="15">
        <f t="shared" si="86"/>
        <v>0</v>
      </c>
      <c r="H227" s="21">
        <f t="shared" si="87"/>
        <v>0</v>
      </c>
      <c r="I227" s="15">
        <f t="shared" si="88"/>
        <v>0</v>
      </c>
      <c r="J227" s="21">
        <f t="shared" si="89"/>
        <v>0</v>
      </c>
      <c r="K227" s="15">
        <f t="shared" si="97"/>
        <v>0</v>
      </c>
      <c r="L227" s="15">
        <f t="shared" si="98"/>
        <v>0</v>
      </c>
      <c r="M227" s="15"/>
      <c r="N227" s="15">
        <f t="shared" si="99"/>
        <v>29159</v>
      </c>
      <c r="O227" s="15">
        <f>IF(N227&gt;=4000,(N227-4000)*0.9+2200,IF(N227&gt;=3000,(N227-3000)*0.8+1400,IF(N227&gt;=2000,(N227-2000)*0.6+800,IF(N227&gt;0,N227*0.4,0))))</f>
        <v>24843.100000000002</v>
      </c>
      <c r="P227" s="15"/>
      <c r="Q227" s="30" t="s">
        <v>44</v>
      </c>
      <c r="R227" s="15"/>
      <c r="S227" s="76">
        <f>ROUND(SUM(O227*$Q$10),0)</f>
        <v>6354</v>
      </c>
      <c r="T227" s="15">
        <f>ROUND(SUM(S227*0.1),0)</f>
        <v>635</v>
      </c>
      <c r="U227" s="15">
        <f>SUM(S227:T227)</f>
        <v>6989</v>
      </c>
      <c r="V227" s="15"/>
      <c r="W227" s="15" t="s">
        <v>201</v>
      </c>
      <c r="X227" s="15">
        <f t="shared" si="95"/>
        <v>6354</v>
      </c>
      <c r="Y227" s="15">
        <v>6744</v>
      </c>
      <c r="Z227" s="15">
        <v>6770</v>
      </c>
      <c r="AA227" s="15">
        <v>5820</v>
      </c>
      <c r="AB227" s="40">
        <v>5514</v>
      </c>
      <c r="AC227" s="15">
        <f t="shared" si="96"/>
        <v>950</v>
      </c>
      <c r="AD227" s="1"/>
      <c r="AE227" s="3">
        <v>1</v>
      </c>
      <c r="AF227" s="15" t="s">
        <v>201</v>
      </c>
      <c r="AG227" s="15">
        <v>5820</v>
      </c>
      <c r="AJ227" s="81" t="s">
        <v>358</v>
      </c>
      <c r="AK227" s="81">
        <v>29159</v>
      </c>
      <c r="AL227" s="3">
        <v>0</v>
      </c>
      <c r="AN227" s="81">
        <v>0</v>
      </c>
      <c r="AR227" s="32" t="s">
        <v>358</v>
      </c>
      <c r="AS227" s="57">
        <v>32979</v>
      </c>
      <c r="AT227" s="57">
        <v>0</v>
      </c>
      <c r="AU227" s="57">
        <v>0</v>
      </c>
      <c r="AV227" s="57">
        <v>0</v>
      </c>
      <c r="AW227" s="57">
        <v>0</v>
      </c>
      <c r="AZ227" s="32" t="s">
        <v>358</v>
      </c>
      <c r="BA227" s="57">
        <v>32979</v>
      </c>
      <c r="BB227" s="57">
        <v>0</v>
      </c>
      <c r="BC227" s="57">
        <v>0</v>
      </c>
      <c r="BD227" s="57">
        <v>0</v>
      </c>
      <c r="BE227" s="57">
        <v>0</v>
      </c>
      <c r="BF227" s="50"/>
      <c r="BG227" s="43"/>
      <c r="BH227" s="32" t="s">
        <v>358</v>
      </c>
      <c r="BI227" s="33">
        <v>33046</v>
      </c>
      <c r="BJ227" s="33">
        <v>0</v>
      </c>
      <c r="BK227" s="33">
        <v>0</v>
      </c>
      <c r="BL227" s="33">
        <v>2591</v>
      </c>
      <c r="BM227" s="33">
        <v>0</v>
      </c>
    </row>
    <row r="228" spans="1:65" ht="21.75">
      <c r="A228" s="15" t="s">
        <v>118</v>
      </c>
      <c r="B228" s="62" t="s">
        <v>105</v>
      </c>
      <c r="C228" s="29">
        <f t="shared" si="84"/>
        <v>0</v>
      </c>
      <c r="D228" s="21">
        <f t="shared" si="85"/>
        <v>0</v>
      </c>
      <c r="E228" s="15">
        <f t="shared" si="90"/>
        <v>0</v>
      </c>
      <c r="F228" s="15"/>
      <c r="G228" s="15">
        <f t="shared" si="86"/>
        <v>0</v>
      </c>
      <c r="H228" s="21">
        <f t="shared" si="87"/>
        <v>0</v>
      </c>
      <c r="I228" s="15">
        <f t="shared" si="88"/>
        <v>0</v>
      </c>
      <c r="J228" s="21">
        <f t="shared" si="89"/>
        <v>0</v>
      </c>
      <c r="K228" s="15">
        <f t="shared" si="97"/>
        <v>0</v>
      </c>
      <c r="L228" s="15">
        <f t="shared" si="98"/>
        <v>0</v>
      </c>
      <c r="M228" s="15"/>
      <c r="N228" s="15">
        <f t="shared" si="99"/>
        <v>0</v>
      </c>
      <c r="O228" s="15">
        <f>IF(N228&gt;=4000,(N228-4000)*0.9+2200,IF(N228&gt;=3000,(N228-3000)*0.8+1400,IF(N228&gt;=2000,(N228-2000)*0.6+800,IF(N228&gt;0,N228*0.4,0))))</f>
        <v>0</v>
      </c>
      <c r="P228" s="15"/>
      <c r="Q228" s="30" t="s">
        <v>44</v>
      </c>
      <c r="R228" s="15"/>
      <c r="S228" s="76">
        <f>ROUND(SUM(O228*$Q$10),0)</f>
        <v>0</v>
      </c>
      <c r="T228" s="15">
        <f>ROUND(SUM(S228*0.1),0)</f>
        <v>0</v>
      </c>
      <c r="U228" s="15">
        <f>SUM(S228:T228)</f>
        <v>0</v>
      </c>
      <c r="V228" s="15"/>
      <c r="W228" s="15" t="s">
        <v>511</v>
      </c>
      <c r="X228" s="15">
        <f t="shared" si="95"/>
        <v>0</v>
      </c>
      <c r="Y228" s="15">
        <v>525</v>
      </c>
      <c r="Z228" s="15">
        <v>0</v>
      </c>
      <c r="AA228" s="15">
        <v>756</v>
      </c>
      <c r="AB228" s="40">
        <v>735</v>
      </c>
      <c r="AC228" s="15">
        <f t="shared" si="96"/>
        <v>-756</v>
      </c>
      <c r="AD228" s="1"/>
      <c r="AE228" s="3">
        <v>1</v>
      </c>
      <c r="AF228" s="15" t="s">
        <v>118</v>
      </c>
      <c r="AG228" s="15">
        <v>756</v>
      </c>
      <c r="AJ228" s="81"/>
      <c r="AK228" s="81"/>
      <c r="AL228" s="81"/>
      <c r="AM228" s="81"/>
      <c r="AN228" s="81"/>
      <c r="AO228" s="81"/>
      <c r="AR228" s="32" t="s">
        <v>450</v>
      </c>
      <c r="AS228" s="65">
        <v>4000</v>
      </c>
      <c r="AT228" s="57"/>
      <c r="AU228" s="57"/>
      <c r="AV228" s="57"/>
      <c r="AW228" s="57"/>
      <c r="AZ228" s="32" t="s">
        <v>450</v>
      </c>
      <c r="BA228" s="65">
        <v>4000</v>
      </c>
      <c r="BB228" s="57"/>
      <c r="BC228" s="57"/>
      <c r="BD228" s="57"/>
      <c r="BE228" s="57"/>
      <c r="BF228" s="50"/>
      <c r="BG228" s="43"/>
      <c r="BH228" s="32"/>
      <c r="BI228" s="33"/>
      <c r="BJ228" s="33"/>
      <c r="BK228" s="33"/>
      <c r="BL228" s="33"/>
      <c r="BM228" s="33"/>
    </row>
    <row r="229" spans="1:65" ht="21">
      <c r="A229" s="15" t="s">
        <v>233</v>
      </c>
      <c r="B229" s="28"/>
      <c r="C229" s="29">
        <f t="shared" si="84"/>
        <v>11522</v>
      </c>
      <c r="D229" s="21">
        <f t="shared" si="85"/>
        <v>0</v>
      </c>
      <c r="E229" s="15">
        <f t="shared" si="90"/>
        <v>11522</v>
      </c>
      <c r="F229" s="15"/>
      <c r="G229" s="15">
        <f t="shared" si="86"/>
        <v>0</v>
      </c>
      <c r="H229" s="21">
        <f t="shared" si="87"/>
        <v>0</v>
      </c>
      <c r="I229" s="15">
        <f t="shared" si="88"/>
        <v>0</v>
      </c>
      <c r="J229" s="21">
        <f t="shared" si="89"/>
        <v>0</v>
      </c>
      <c r="K229" s="15">
        <f t="shared" si="97"/>
        <v>0</v>
      </c>
      <c r="L229" s="15">
        <f t="shared" si="98"/>
        <v>0</v>
      </c>
      <c r="M229" s="15"/>
      <c r="N229" s="15">
        <f t="shared" si="99"/>
        <v>11522</v>
      </c>
      <c r="O229" s="15">
        <f>IF(N229&gt;=4000,(N229-4000)*0.9+2200,IF(N229&gt;=3000,(N229-3000)*0.8+1400,IF(N229&gt;=2000,(N229-2000)*0.6+800,IF(N229&gt;0,N229*0.4,0))))</f>
        <v>8969.8</v>
      </c>
      <c r="P229" s="15"/>
      <c r="Q229" s="30" t="s">
        <v>44</v>
      </c>
      <c r="R229" s="15"/>
      <c r="S229" s="76">
        <f>ROUND(SUM(O229*$Q$10),0)</f>
        <v>2294</v>
      </c>
      <c r="T229" s="15">
        <f>ROUND(SUM(S229*0.1),0)</f>
        <v>229</v>
      </c>
      <c r="U229" s="15">
        <f>SUM(S229:T229)</f>
        <v>2523</v>
      </c>
      <c r="V229" s="15"/>
      <c r="W229" s="15" t="s">
        <v>233</v>
      </c>
      <c r="X229" s="15">
        <f t="shared" si="95"/>
        <v>2294</v>
      </c>
      <c r="Y229" s="15">
        <v>3018</v>
      </c>
      <c r="Z229" s="15">
        <v>2941</v>
      </c>
      <c r="AA229" s="15">
        <v>3011</v>
      </c>
      <c r="AB229" s="40">
        <v>2627</v>
      </c>
      <c r="AC229" s="15">
        <f t="shared" si="96"/>
        <v>-70</v>
      </c>
      <c r="AD229" s="1"/>
      <c r="AE229" s="3">
        <v>1</v>
      </c>
      <c r="AF229" s="15" t="s">
        <v>233</v>
      </c>
      <c r="AG229" s="15">
        <v>3011</v>
      </c>
      <c r="AJ229" s="81" t="s">
        <v>356</v>
      </c>
      <c r="AK229" s="81">
        <v>11522</v>
      </c>
      <c r="AL229" s="81">
        <v>0</v>
      </c>
      <c r="AM229" s="81">
        <v>0</v>
      </c>
      <c r="AN229" s="81">
        <v>0</v>
      </c>
      <c r="AO229" s="81">
        <v>0</v>
      </c>
      <c r="AR229" s="32" t="s">
        <v>356</v>
      </c>
      <c r="AS229" s="57">
        <v>15616</v>
      </c>
      <c r="AT229" s="57">
        <v>0</v>
      </c>
      <c r="AU229" s="57">
        <v>0</v>
      </c>
      <c r="AV229" s="57">
        <v>0</v>
      </c>
      <c r="AW229" s="57">
        <v>0</v>
      </c>
      <c r="AZ229" s="32" t="s">
        <v>356</v>
      </c>
      <c r="BA229" s="57">
        <v>15616</v>
      </c>
      <c r="BB229" s="57">
        <v>0</v>
      </c>
      <c r="BC229" s="57">
        <v>0</v>
      </c>
      <c r="BD229" s="57">
        <v>0</v>
      </c>
      <c r="BE229" s="57">
        <v>0</v>
      </c>
      <c r="BF229" s="50"/>
      <c r="BG229" s="43"/>
      <c r="BH229" s="32" t="s">
        <v>356</v>
      </c>
      <c r="BI229" s="33">
        <v>14673</v>
      </c>
      <c r="BJ229" s="33">
        <v>0</v>
      </c>
      <c r="BK229" s="33">
        <v>0</v>
      </c>
      <c r="BL229" s="33">
        <v>0</v>
      </c>
      <c r="BM229" s="33">
        <v>0</v>
      </c>
    </row>
    <row r="230" spans="1:65" ht="21">
      <c r="A230" s="15" t="s">
        <v>119</v>
      </c>
      <c r="B230" s="28"/>
      <c r="C230" s="29">
        <f t="shared" si="84"/>
        <v>71632</v>
      </c>
      <c r="D230" s="21">
        <f t="shared" si="85"/>
        <v>0</v>
      </c>
      <c r="E230" s="15">
        <f t="shared" si="90"/>
        <v>71632</v>
      </c>
      <c r="F230" s="15"/>
      <c r="G230" s="15">
        <f t="shared" si="86"/>
        <v>0</v>
      </c>
      <c r="H230" s="21">
        <f t="shared" si="87"/>
        <v>0</v>
      </c>
      <c r="I230" s="15">
        <f t="shared" si="88"/>
        <v>0</v>
      </c>
      <c r="J230" s="21">
        <f t="shared" si="89"/>
        <v>0</v>
      </c>
      <c r="K230" s="15">
        <f t="shared" si="97"/>
        <v>0</v>
      </c>
      <c r="L230" s="15">
        <f t="shared" si="98"/>
        <v>0</v>
      </c>
      <c r="M230" s="15"/>
      <c r="N230" s="15">
        <f t="shared" si="99"/>
        <v>71632</v>
      </c>
      <c r="O230" s="15">
        <f>IF(N230&gt;=4000,(N230-4000)*0.9+2200,IF(N230&gt;=3000,(N230-3000)*0.8+1400,IF(N230&gt;=2000,(N230-2000)*0.6+800,IF(N230&gt;0,N230*0.4,0))))</f>
        <v>63068.8</v>
      </c>
      <c r="P230" s="15"/>
      <c r="Q230" s="30" t="s">
        <v>44</v>
      </c>
      <c r="R230" s="15"/>
      <c r="S230" s="76">
        <f>ROUND(SUM(O230*$Q$10),0)</f>
        <v>16132</v>
      </c>
      <c r="T230" s="15">
        <f>ROUND(SUM(S230*0.1),0)</f>
        <v>1613</v>
      </c>
      <c r="U230" s="15">
        <f>SUM(S230:T230)</f>
        <v>17745</v>
      </c>
      <c r="V230" s="15"/>
      <c r="W230" s="15" t="s">
        <v>119</v>
      </c>
      <c r="X230" s="15">
        <f t="shared" si="95"/>
        <v>16132</v>
      </c>
      <c r="Y230" s="15">
        <v>15921</v>
      </c>
      <c r="Z230" s="15">
        <v>18709</v>
      </c>
      <c r="AA230" s="15">
        <v>19366</v>
      </c>
      <c r="AB230" s="40">
        <v>19178</v>
      </c>
      <c r="AC230" s="15">
        <f t="shared" si="96"/>
        <v>-657</v>
      </c>
      <c r="AD230" s="1"/>
      <c r="AE230" s="3">
        <v>1</v>
      </c>
      <c r="AF230" s="15" t="s">
        <v>119</v>
      </c>
      <c r="AG230" s="15">
        <v>19366</v>
      </c>
      <c r="AJ230" s="81" t="s">
        <v>541</v>
      </c>
      <c r="AK230" s="81">
        <v>71632</v>
      </c>
      <c r="AL230" s="81">
        <v>0</v>
      </c>
      <c r="AM230" s="81">
        <v>0</v>
      </c>
      <c r="AN230" s="81">
        <v>0</v>
      </c>
      <c r="AO230" s="81">
        <v>0</v>
      </c>
      <c r="AR230" s="32" t="s">
        <v>354</v>
      </c>
      <c r="AS230" s="57">
        <v>75736</v>
      </c>
      <c r="AT230" s="57">
        <v>0</v>
      </c>
      <c r="AU230" s="57">
        <v>0</v>
      </c>
      <c r="AV230" s="57">
        <v>0</v>
      </c>
      <c r="AW230" s="57">
        <v>0</v>
      </c>
      <c r="AZ230" s="32" t="s">
        <v>454</v>
      </c>
      <c r="BA230" s="57">
        <v>75736</v>
      </c>
      <c r="BB230" s="57">
        <v>0</v>
      </c>
      <c r="BC230" s="57">
        <v>0</v>
      </c>
      <c r="BD230" s="57">
        <v>0</v>
      </c>
      <c r="BE230" s="57">
        <v>0</v>
      </c>
      <c r="BF230" s="50"/>
      <c r="BG230" s="43"/>
      <c r="BH230" s="32" t="s">
        <v>354</v>
      </c>
      <c r="BI230" s="33">
        <v>85000</v>
      </c>
      <c r="BJ230" s="33">
        <v>0</v>
      </c>
      <c r="BK230" s="33">
        <v>0</v>
      </c>
      <c r="BL230" s="33">
        <v>0</v>
      </c>
      <c r="BM230" s="33">
        <v>0</v>
      </c>
    </row>
    <row r="231" spans="1:65" ht="21">
      <c r="A231" s="15" t="s">
        <v>126</v>
      </c>
      <c r="B231" s="28"/>
      <c r="C231" s="29">
        <f t="shared" si="84"/>
        <v>21939.08</v>
      </c>
      <c r="D231" s="21">
        <f t="shared" si="85"/>
        <v>0</v>
      </c>
      <c r="E231" s="15">
        <f t="shared" si="90"/>
        <v>21939.08</v>
      </c>
      <c r="F231" s="15"/>
      <c r="G231" s="15">
        <f t="shared" si="86"/>
        <v>0</v>
      </c>
      <c r="H231" s="21">
        <f t="shared" si="87"/>
        <v>2600</v>
      </c>
      <c r="I231" s="15">
        <f t="shared" si="88"/>
        <v>1300</v>
      </c>
      <c r="J231" s="21">
        <f t="shared" si="89"/>
        <v>0</v>
      </c>
      <c r="K231" s="15">
        <f t="shared" si="97"/>
        <v>0</v>
      </c>
      <c r="L231" s="15">
        <f t="shared" si="98"/>
        <v>1300</v>
      </c>
      <c r="M231" s="15"/>
      <c r="N231" s="15">
        <f t="shared" si="99"/>
        <v>20639.08</v>
      </c>
      <c r="O231" s="15">
        <f>IF(N231&gt;=4000,(N231-4000)*0.9+2200,IF(N231&gt;=3000,(N231-3000)*0.8+1400,IF(N231&gt;=2000,(N231-2000)*0.6+800,IF(N231&gt;0,N231*0.4,0))))</f>
        <v>17175.172000000002</v>
      </c>
      <c r="P231" s="15"/>
      <c r="Q231" s="30" t="s">
        <v>44</v>
      </c>
      <c r="R231" s="15"/>
      <c r="S231" s="76">
        <f>ROUND(SUM(O231*$Q$10),0)</f>
        <v>4393</v>
      </c>
      <c r="T231" s="15">
        <f>ROUND(SUM(S231*0.1),0)</f>
        <v>439</v>
      </c>
      <c r="U231" s="15">
        <f>SUM(S231:T231)</f>
        <v>4832</v>
      </c>
      <c r="V231" s="15"/>
      <c r="W231" s="15" t="s">
        <v>126</v>
      </c>
      <c r="X231" s="15">
        <f t="shared" si="95"/>
        <v>4393</v>
      </c>
      <c r="Y231" s="15">
        <v>508</v>
      </c>
      <c r="Z231" s="15">
        <v>4634</v>
      </c>
      <c r="AA231" s="15">
        <v>5946</v>
      </c>
      <c r="AB231" s="40">
        <v>6716</v>
      </c>
      <c r="AC231" s="15">
        <f t="shared" si="96"/>
        <v>-1312</v>
      </c>
      <c r="AD231" s="1"/>
      <c r="AE231" s="3">
        <v>1</v>
      </c>
      <c r="AF231" s="15" t="s">
        <v>126</v>
      </c>
      <c r="AG231" s="15">
        <v>5946</v>
      </c>
      <c r="AJ231" s="81" t="s">
        <v>540</v>
      </c>
      <c r="AK231" s="82">
        <v>21939.08</v>
      </c>
      <c r="AL231" s="81">
        <v>0</v>
      </c>
      <c r="AM231" s="81">
        <v>0</v>
      </c>
      <c r="AN231" s="81">
        <v>2600</v>
      </c>
      <c r="AO231" s="81">
        <v>0</v>
      </c>
      <c r="AR231" s="32" t="s">
        <v>355</v>
      </c>
      <c r="AS231" s="57">
        <v>11061</v>
      </c>
      <c r="AT231" s="57">
        <v>0</v>
      </c>
      <c r="AU231" s="57">
        <v>0</v>
      </c>
      <c r="AV231" s="57">
        <v>2600</v>
      </c>
      <c r="AW231" s="57">
        <v>23399</v>
      </c>
      <c r="AZ231" s="32" t="s">
        <v>453</v>
      </c>
      <c r="BA231" s="57">
        <v>11061</v>
      </c>
      <c r="BB231" s="57">
        <v>0</v>
      </c>
      <c r="BC231" s="57">
        <v>0</v>
      </c>
      <c r="BD231" s="57">
        <v>2600</v>
      </c>
      <c r="BE231" s="57">
        <v>23399</v>
      </c>
      <c r="BH231" s="32" t="s">
        <v>355</v>
      </c>
      <c r="BI231" s="33">
        <v>23525.44</v>
      </c>
      <c r="BJ231" s="33"/>
      <c r="BK231" s="33"/>
      <c r="BL231" s="33">
        <v>2600</v>
      </c>
      <c r="BM231" s="33"/>
    </row>
    <row r="232" spans="1:33" ht="21">
      <c r="A232" s="19" t="s">
        <v>3</v>
      </c>
      <c r="B232" s="15"/>
      <c r="C232" s="19" t="s">
        <v>3</v>
      </c>
      <c r="D232" s="19" t="s">
        <v>3</v>
      </c>
      <c r="E232" s="19" t="s">
        <v>3</v>
      </c>
      <c r="F232" s="15"/>
      <c r="G232" s="19" t="s">
        <v>3</v>
      </c>
      <c r="H232" s="19" t="s">
        <v>3</v>
      </c>
      <c r="I232" s="19" t="s">
        <v>3</v>
      </c>
      <c r="J232" s="19" t="s">
        <v>3</v>
      </c>
      <c r="K232" s="19" t="s">
        <v>3</v>
      </c>
      <c r="L232" s="19" t="s">
        <v>3</v>
      </c>
      <c r="M232" s="15"/>
      <c r="N232" s="19" t="s">
        <v>3</v>
      </c>
      <c r="O232" s="19" t="s">
        <v>3</v>
      </c>
      <c r="P232" s="15"/>
      <c r="Q232" s="15"/>
      <c r="R232" s="15"/>
      <c r="S232" s="78" t="s">
        <v>3</v>
      </c>
      <c r="T232" s="19" t="s">
        <v>3</v>
      </c>
      <c r="U232" s="19" t="s">
        <v>3</v>
      </c>
      <c r="V232" s="15"/>
      <c r="Z232" s="14"/>
      <c r="AA232" s="14"/>
      <c r="AC232" s="15">
        <f t="shared" si="96"/>
        <v>0</v>
      </c>
      <c r="AD232" s="1"/>
      <c r="AE232" s="1"/>
      <c r="AF232" s="1"/>
      <c r="AG232" s="1"/>
    </row>
    <row r="233" spans="1:33" ht="21">
      <c r="A233" s="15" t="s">
        <v>48</v>
      </c>
      <c r="B233" s="15"/>
      <c r="C233" s="15">
        <f>SUM(C217:C232)</f>
        <v>703179.1699999999</v>
      </c>
      <c r="D233" s="15">
        <f>SUM(D217:D232)</f>
        <v>2676.74</v>
      </c>
      <c r="E233" s="15">
        <f>SUM(E217:E232)</f>
        <v>705855.9099999999</v>
      </c>
      <c r="F233" s="15"/>
      <c r="G233" s="15">
        <f aca="true" t="shared" si="101" ref="G233:L233">SUM(G217:G232)</f>
        <v>0</v>
      </c>
      <c r="H233" s="15">
        <f t="shared" si="101"/>
        <v>57208.7</v>
      </c>
      <c r="I233" s="15">
        <f t="shared" si="101"/>
        <v>28604.35</v>
      </c>
      <c r="J233" s="15">
        <f t="shared" si="101"/>
        <v>0</v>
      </c>
      <c r="K233" s="15">
        <f t="shared" si="101"/>
        <v>0</v>
      </c>
      <c r="L233" s="15">
        <f t="shared" si="101"/>
        <v>28604.35</v>
      </c>
      <c r="M233" s="15"/>
      <c r="N233" s="15">
        <f>SUM(N217:N232)</f>
        <v>677251.5599999999</v>
      </c>
      <c r="O233" s="15">
        <f>SUM(O217:O232)</f>
        <v>592726.404</v>
      </c>
      <c r="P233" s="15"/>
      <c r="Q233" s="18" t="s">
        <v>49</v>
      </c>
      <c r="R233" s="15"/>
      <c r="S233" s="76">
        <f>SUM(S217:S232)</f>
        <v>151606</v>
      </c>
      <c r="T233" s="15">
        <f>SUM(T217:T232)</f>
        <v>15159</v>
      </c>
      <c r="U233" s="15">
        <f>SUM(U217:U232)</f>
        <v>166765</v>
      </c>
      <c r="V233" s="15"/>
      <c r="W233" s="15"/>
      <c r="X233" s="15">
        <f>SUM(X218:X232)</f>
        <v>151606</v>
      </c>
      <c r="Y233" s="15">
        <f>SUM(Y218:Y232)</f>
        <v>154455</v>
      </c>
      <c r="Z233" s="15">
        <f>SUM(Z218:Z232)</f>
        <v>156895</v>
      </c>
      <c r="AA233" s="15">
        <f>SUM(AA218:AA232)</f>
        <v>144790</v>
      </c>
      <c r="AB233" s="15">
        <f>SUM(AB218:AB232)</f>
        <v>146570</v>
      </c>
      <c r="AC233" s="15">
        <f t="shared" si="96"/>
        <v>12105</v>
      </c>
      <c r="AD233" s="1"/>
      <c r="AE233" s="1"/>
      <c r="AF233" s="1"/>
      <c r="AG233" s="1"/>
    </row>
    <row r="234" spans="1:41" ht="21">
      <c r="A234" s="19" t="s">
        <v>3</v>
      </c>
      <c r="B234" s="15"/>
      <c r="C234" s="19" t="s">
        <v>3</v>
      </c>
      <c r="D234" s="19" t="s">
        <v>3</v>
      </c>
      <c r="E234" s="19" t="s">
        <v>3</v>
      </c>
      <c r="F234" s="15"/>
      <c r="G234" s="19" t="s">
        <v>3</v>
      </c>
      <c r="H234" s="19" t="s">
        <v>3</v>
      </c>
      <c r="I234" s="19" t="s">
        <v>3</v>
      </c>
      <c r="J234" s="19" t="s">
        <v>3</v>
      </c>
      <c r="K234" s="19" t="s">
        <v>3</v>
      </c>
      <c r="L234" s="19" t="s">
        <v>3</v>
      </c>
      <c r="M234" s="15"/>
      <c r="N234" s="19" t="s">
        <v>3</v>
      </c>
      <c r="O234" s="19" t="s">
        <v>3</v>
      </c>
      <c r="P234" s="15"/>
      <c r="Q234" s="15"/>
      <c r="R234" s="15"/>
      <c r="S234" s="78" t="s">
        <v>3</v>
      </c>
      <c r="T234" s="19" t="s">
        <v>3</v>
      </c>
      <c r="U234" s="19" t="s">
        <v>3</v>
      </c>
      <c r="V234" s="15"/>
      <c r="W234" s="35"/>
      <c r="X234" s="35"/>
      <c r="Y234" s="35"/>
      <c r="AB234" s="38"/>
      <c r="AC234" s="15">
        <f t="shared" si="96"/>
        <v>0</v>
      </c>
      <c r="AD234" s="1"/>
      <c r="AE234" s="1"/>
      <c r="AF234" s="1"/>
      <c r="AG234" s="1"/>
      <c r="AJ234" s="81"/>
      <c r="AK234" s="81"/>
      <c r="AL234" s="81"/>
      <c r="AM234" s="81"/>
      <c r="AN234" s="81"/>
      <c r="AO234" s="81"/>
    </row>
    <row r="235" spans="1:65" ht="2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79"/>
      <c r="T235" s="35"/>
      <c r="U235" s="35"/>
      <c r="V235" s="35"/>
      <c r="W235" s="15"/>
      <c r="X235" s="15"/>
      <c r="Y235" s="15"/>
      <c r="Z235" s="1"/>
      <c r="AA235" s="1"/>
      <c r="AB235" s="38"/>
      <c r="AC235" s="15">
        <f t="shared" si="96"/>
        <v>0</v>
      </c>
      <c r="AJ235" s="81"/>
      <c r="AK235" s="81"/>
      <c r="AL235" s="81"/>
      <c r="AM235" s="81"/>
      <c r="AN235" s="81"/>
      <c r="AO235" s="81"/>
      <c r="AR235" s="32"/>
      <c r="BH235" s="32"/>
      <c r="BI235" s="33"/>
      <c r="BJ235" s="33"/>
      <c r="BK235" s="33"/>
      <c r="BL235" s="33"/>
      <c r="BM235" s="33"/>
    </row>
    <row r="236" spans="1:65" ht="21">
      <c r="A236" s="15" t="s">
        <v>61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76"/>
      <c r="T236" s="15"/>
      <c r="U236" s="15"/>
      <c r="V236" s="15"/>
      <c r="W236" s="15"/>
      <c r="X236" s="15"/>
      <c r="Y236" s="15"/>
      <c r="Z236" s="1"/>
      <c r="AA236" s="1"/>
      <c r="AB236" s="38"/>
      <c r="AC236" s="1"/>
      <c r="AD236" s="1"/>
      <c r="AE236" s="1"/>
      <c r="AF236" s="1"/>
      <c r="AG236" s="1"/>
      <c r="AJ236" s="81"/>
      <c r="AK236" s="81"/>
      <c r="AL236" s="81"/>
      <c r="AM236" s="81"/>
      <c r="AN236" s="81"/>
      <c r="AO236" s="81"/>
      <c r="AR236" s="32"/>
      <c r="BH236" s="32"/>
      <c r="BI236" s="33"/>
      <c r="BJ236" s="33"/>
      <c r="BK236" s="33"/>
      <c r="BL236" s="33"/>
      <c r="BM236" s="33"/>
    </row>
    <row r="237" spans="1:65" ht="21">
      <c r="A237" s="15" t="s">
        <v>187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76"/>
      <c r="T237" s="15"/>
      <c r="U237" s="15"/>
      <c r="V237" s="15"/>
      <c r="W237" s="15"/>
      <c r="X237" s="15"/>
      <c r="Y237" s="15"/>
      <c r="Z237" s="1"/>
      <c r="AA237" s="1"/>
      <c r="AB237" s="38"/>
      <c r="AC237" s="1"/>
      <c r="AD237" s="1"/>
      <c r="AE237" s="1"/>
      <c r="AF237" s="1"/>
      <c r="AG237" s="1"/>
      <c r="AJ237" s="81"/>
      <c r="AK237" s="81"/>
      <c r="AL237" s="81"/>
      <c r="AM237" s="81"/>
      <c r="AN237" s="81"/>
      <c r="AO237" s="81"/>
      <c r="AR237" s="32"/>
      <c r="BH237" s="32"/>
      <c r="BI237" s="33"/>
      <c r="BJ237" s="33"/>
      <c r="BK237" s="33"/>
      <c r="BL237" s="33"/>
      <c r="BM237" s="33"/>
    </row>
    <row r="238" spans="1:41" ht="21">
      <c r="A238" s="15" t="s">
        <v>63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76"/>
      <c r="T238" s="15"/>
      <c r="U238" s="15"/>
      <c r="V238" s="15"/>
      <c r="W238" s="15"/>
      <c r="X238" s="15"/>
      <c r="Y238" s="15"/>
      <c r="Z238" s="1"/>
      <c r="AA238" s="1"/>
      <c r="AB238" s="38"/>
      <c r="AC238" s="1"/>
      <c r="AD238" s="1"/>
      <c r="AE238" s="1"/>
      <c r="AF238" s="1"/>
      <c r="AG238" s="1"/>
      <c r="AJ238" s="81"/>
      <c r="AK238" s="82"/>
      <c r="AL238" s="81"/>
      <c r="AM238" s="81"/>
      <c r="AN238" s="81"/>
      <c r="AO238" s="81"/>
    </row>
    <row r="239" spans="1:33" ht="21">
      <c r="A239" s="15" t="s">
        <v>62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76"/>
      <c r="T239" s="15"/>
      <c r="U239" s="15"/>
      <c r="V239" s="15"/>
      <c r="W239" s="15"/>
      <c r="X239" s="15"/>
      <c r="Y239" s="15"/>
      <c r="Z239" s="1"/>
      <c r="AA239" s="1"/>
      <c r="AB239" s="38"/>
      <c r="AC239" s="1"/>
      <c r="AD239" s="1"/>
      <c r="AE239" s="1"/>
      <c r="AF239" s="1"/>
      <c r="AG239" s="1"/>
    </row>
    <row r="240" spans="1:33" ht="21">
      <c r="A240" s="35" t="s">
        <v>188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76"/>
      <c r="T240" s="15"/>
      <c r="U240" s="15"/>
      <c r="V240" s="15"/>
      <c r="W240" s="35"/>
      <c r="X240" s="35"/>
      <c r="Y240" s="35"/>
      <c r="AB240" s="38"/>
      <c r="AC240" s="1"/>
      <c r="AD240" s="1"/>
      <c r="AE240" s="1"/>
      <c r="AF240" s="1"/>
      <c r="AG240" s="1"/>
    </row>
    <row r="241" spans="1:28" ht="2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79"/>
      <c r="T241" s="35"/>
      <c r="U241" s="35"/>
      <c r="V241" s="35"/>
      <c r="W241" s="15"/>
      <c r="X241" s="15"/>
      <c r="Y241" s="15"/>
      <c r="Z241" s="1"/>
      <c r="AA241" s="1"/>
      <c r="AB241" s="38"/>
    </row>
    <row r="242" spans="1:33" ht="21">
      <c r="A242" s="15" t="s">
        <v>64</v>
      </c>
      <c r="B242" s="15"/>
      <c r="C242" s="15"/>
      <c r="D242" s="15" t="s">
        <v>65</v>
      </c>
      <c r="E242" s="15"/>
      <c r="F242" s="15"/>
      <c r="G242" s="15"/>
      <c r="H242" s="15"/>
      <c r="I242" s="15"/>
      <c r="J242" s="15"/>
      <c r="K242" s="15"/>
      <c r="L242" s="15" t="s">
        <v>66</v>
      </c>
      <c r="M242" s="15"/>
      <c r="N242" s="15"/>
      <c r="O242" s="15"/>
      <c r="P242" s="15"/>
      <c r="Q242" s="15"/>
      <c r="R242" s="15"/>
      <c r="S242" s="76"/>
      <c r="T242" s="15"/>
      <c r="U242" s="15"/>
      <c r="V242" s="15"/>
      <c r="W242" s="15"/>
      <c r="X242" s="15"/>
      <c r="Y242" s="15"/>
      <c r="Z242" s="1"/>
      <c r="AA242" s="1"/>
      <c r="AB242" s="38"/>
      <c r="AC242" s="1"/>
      <c r="AD242" s="1"/>
      <c r="AE242" s="1"/>
      <c r="AF242" s="1"/>
      <c r="AG242" s="1"/>
    </row>
    <row r="243" spans="1:33" ht="21">
      <c r="A243" s="19" t="s">
        <v>3</v>
      </c>
      <c r="B243" s="15"/>
      <c r="C243" s="15"/>
      <c r="D243" s="19" t="s">
        <v>3</v>
      </c>
      <c r="E243" s="19" t="s">
        <v>3</v>
      </c>
      <c r="F243" s="15"/>
      <c r="G243" s="15"/>
      <c r="H243" s="15"/>
      <c r="I243" s="15"/>
      <c r="J243" s="15"/>
      <c r="K243" s="15"/>
      <c r="L243" s="15" t="s">
        <v>67</v>
      </c>
      <c r="M243" s="15"/>
      <c r="N243" s="15"/>
      <c r="O243" s="15"/>
      <c r="P243" s="15"/>
      <c r="Q243" s="15"/>
      <c r="R243" s="15"/>
      <c r="S243" s="76"/>
      <c r="T243" s="15"/>
      <c r="U243" s="15"/>
      <c r="V243" s="15"/>
      <c r="W243" s="15"/>
      <c r="X243" s="15"/>
      <c r="Y243" s="15"/>
      <c r="Z243" s="1"/>
      <c r="AA243" s="1"/>
      <c r="AB243" s="38"/>
      <c r="AC243" s="1"/>
      <c r="AD243" s="1"/>
      <c r="AE243" s="1"/>
      <c r="AF243" s="1"/>
      <c r="AG243" s="1"/>
    </row>
    <row r="244" spans="1:33" ht="21">
      <c r="A244" s="15" t="s">
        <v>68</v>
      </c>
      <c r="B244" s="15"/>
      <c r="C244" s="15"/>
      <c r="D244" s="15" t="s">
        <v>69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76"/>
      <c r="T244" s="15"/>
      <c r="U244" s="15"/>
      <c r="V244" s="15"/>
      <c r="W244" s="15"/>
      <c r="X244" s="15"/>
      <c r="Y244" s="15"/>
      <c r="Z244" s="1"/>
      <c r="AA244" s="1"/>
      <c r="AB244" s="38"/>
      <c r="AC244" s="1"/>
      <c r="AD244" s="1"/>
      <c r="AE244" s="1"/>
      <c r="AF244" s="1"/>
      <c r="AG244" s="1"/>
    </row>
    <row r="245" spans="1:33" ht="21">
      <c r="A245" s="15" t="s">
        <v>70</v>
      </c>
      <c r="B245" s="15"/>
      <c r="C245" s="15"/>
      <c r="D245" s="15" t="s">
        <v>71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76"/>
      <c r="T245" s="15"/>
      <c r="U245" s="15"/>
      <c r="V245" s="15"/>
      <c r="W245" s="15"/>
      <c r="X245" s="15"/>
      <c r="Y245" s="15"/>
      <c r="Z245" s="1"/>
      <c r="AA245" s="1"/>
      <c r="AB245" s="38"/>
      <c r="AC245" s="1"/>
      <c r="AD245" s="1"/>
      <c r="AE245" s="1"/>
      <c r="AF245" s="1"/>
      <c r="AG245" s="1"/>
    </row>
    <row r="246" spans="1:33" ht="21">
      <c r="A246" s="15" t="s">
        <v>72</v>
      </c>
      <c r="B246" s="15"/>
      <c r="C246" s="15"/>
      <c r="D246" s="15" t="s">
        <v>73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76"/>
      <c r="T246" s="15"/>
      <c r="U246" s="15"/>
      <c r="V246" s="15"/>
      <c r="W246" s="15"/>
      <c r="X246" s="15"/>
      <c r="Y246" s="15"/>
      <c r="Z246" s="1"/>
      <c r="AA246" s="1"/>
      <c r="AB246" s="38"/>
      <c r="AC246" s="1"/>
      <c r="AD246" s="1"/>
      <c r="AE246" s="1"/>
      <c r="AF246" s="1"/>
      <c r="AG246" s="1"/>
    </row>
    <row r="247" spans="1:33" ht="21">
      <c r="A247" s="15" t="s">
        <v>74</v>
      </c>
      <c r="B247" s="15"/>
      <c r="C247" s="15"/>
      <c r="D247" s="15" t="s">
        <v>75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76"/>
      <c r="T247" s="15"/>
      <c r="U247" s="15"/>
      <c r="V247" s="15"/>
      <c r="W247" s="35"/>
      <c r="X247" s="35"/>
      <c r="Y247" s="35"/>
      <c r="AB247" s="38"/>
      <c r="AC247" s="1"/>
      <c r="AD247" s="1"/>
      <c r="AE247" s="1"/>
      <c r="AF247" s="1"/>
      <c r="AG247" s="1"/>
    </row>
    <row r="248" spans="1:28" ht="2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79"/>
      <c r="T248" s="35"/>
      <c r="U248" s="35"/>
      <c r="V248" s="35"/>
      <c r="W248" s="35"/>
      <c r="X248" s="35"/>
      <c r="Y248" s="35"/>
      <c r="AB248" s="38"/>
    </row>
    <row r="249" spans="1:28" ht="2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79"/>
      <c r="T249" s="35"/>
      <c r="U249" s="35"/>
      <c r="V249" s="35"/>
      <c r="W249" s="15"/>
      <c r="X249" s="15"/>
      <c r="Y249" s="15"/>
      <c r="Z249" s="1"/>
      <c r="AA249" s="1"/>
      <c r="AB249" s="38"/>
    </row>
    <row r="250" spans="1:33" ht="2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76"/>
      <c r="T250" s="15"/>
      <c r="U250" s="15"/>
      <c r="V250" s="15"/>
      <c r="W250" s="15"/>
      <c r="X250" s="15"/>
      <c r="Y250" s="15"/>
      <c r="Z250" s="1"/>
      <c r="AA250" s="1"/>
      <c r="AB250" s="38"/>
      <c r="AC250" s="1"/>
      <c r="AD250" s="1"/>
      <c r="AE250" s="1"/>
      <c r="AF250" s="1"/>
      <c r="AG250" s="1"/>
    </row>
    <row r="251" spans="1:33" ht="21">
      <c r="A251" s="15" t="s">
        <v>0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76"/>
      <c r="T251" s="15"/>
      <c r="U251" s="15"/>
      <c r="V251" s="15"/>
      <c r="W251" s="15"/>
      <c r="X251" s="15"/>
      <c r="Y251" s="15"/>
      <c r="Z251" s="1"/>
      <c r="AA251" s="1"/>
      <c r="AB251" s="38"/>
      <c r="AC251" s="1"/>
      <c r="AD251" s="1"/>
      <c r="AE251" s="1"/>
      <c r="AF251" s="1"/>
      <c r="AG251" s="1"/>
    </row>
    <row r="252" spans="1:33" ht="21">
      <c r="A252" s="15" t="str">
        <f>$A$3</f>
        <v>MISSION &amp; SERVICE BUDGET APPORTIONMENT 2022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76"/>
      <c r="T252" s="15"/>
      <c r="U252" s="15"/>
      <c r="V252" s="15"/>
      <c r="W252" s="15"/>
      <c r="X252" s="15"/>
      <c r="Y252" s="15"/>
      <c r="Z252" s="1"/>
      <c r="AA252" s="1"/>
      <c r="AB252" s="38"/>
      <c r="AC252" s="1"/>
      <c r="AD252" s="1"/>
      <c r="AE252" s="1"/>
      <c r="AF252" s="1"/>
      <c r="AG252" s="1"/>
    </row>
    <row r="253" spans="1:33" ht="2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76"/>
      <c r="T253" s="15"/>
      <c r="U253" s="15"/>
      <c r="V253" s="15"/>
      <c r="W253" s="15"/>
      <c r="X253" s="15"/>
      <c r="Y253" s="15"/>
      <c r="Z253" s="1"/>
      <c r="AA253" s="1"/>
      <c r="AB253" s="38"/>
      <c r="AC253" s="1"/>
      <c r="AD253" s="1"/>
      <c r="AE253" s="1"/>
      <c r="AF253" s="1"/>
      <c r="AG253" s="1"/>
    </row>
    <row r="254" spans="1:33" ht="2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76"/>
      <c r="T254" s="15"/>
      <c r="U254" s="15"/>
      <c r="V254" s="15"/>
      <c r="W254" s="15"/>
      <c r="X254" s="15"/>
      <c r="Y254" s="15"/>
      <c r="Z254" s="1"/>
      <c r="AA254" s="1"/>
      <c r="AB254" s="38"/>
      <c r="AC254" s="1"/>
      <c r="AD254" s="1"/>
      <c r="AE254" s="1"/>
      <c r="AF254" s="1"/>
      <c r="AG254" s="1"/>
    </row>
    <row r="255" spans="1:33" ht="21">
      <c r="A255" s="15" t="s">
        <v>121</v>
      </c>
      <c r="B255" s="15" t="s">
        <v>2</v>
      </c>
      <c r="C255" s="15" t="str">
        <f>C32</f>
        <v>2020 expenses</v>
      </c>
      <c r="D255" s="15"/>
      <c r="E255" s="15"/>
      <c r="F255" s="15" t="s">
        <v>2</v>
      </c>
      <c r="G255" s="19" t="s">
        <v>3</v>
      </c>
      <c r="H255" s="19" t="s">
        <v>3</v>
      </c>
      <c r="I255" s="19" t="s">
        <v>3</v>
      </c>
      <c r="J255" s="18" t="s">
        <v>4</v>
      </c>
      <c r="K255" s="19" t="s">
        <v>3</v>
      </c>
      <c r="L255" s="19" t="s">
        <v>3</v>
      </c>
      <c r="M255" s="15" t="s">
        <v>2</v>
      </c>
      <c r="N255" s="15" t="s">
        <v>5</v>
      </c>
      <c r="O255" s="15"/>
      <c r="P255" s="15" t="s">
        <v>2</v>
      </c>
      <c r="Q255" s="18" t="s">
        <v>6</v>
      </c>
      <c r="R255" s="15" t="s">
        <v>2</v>
      </c>
      <c r="S255" s="76" t="str">
        <f>S32</f>
        <v>------------------------</v>
      </c>
      <c r="T255" s="18" t="str">
        <f>+T211</f>
        <v>APPORTIONMENT</v>
      </c>
      <c r="U255" s="15" t="str">
        <f>+U211</f>
        <v>---------------------</v>
      </c>
      <c r="V255" s="15" t="s">
        <v>2</v>
      </c>
      <c r="W255" s="15"/>
      <c r="X255" s="15"/>
      <c r="Y255" s="15"/>
      <c r="Z255" s="1"/>
      <c r="AA255" s="1"/>
      <c r="AB255" s="38"/>
      <c r="AC255" s="1"/>
      <c r="AD255" s="1"/>
      <c r="AE255" s="1"/>
      <c r="AF255" s="1"/>
      <c r="AG255" s="1"/>
    </row>
    <row r="256" spans="1:33" ht="21">
      <c r="A256" s="15"/>
      <c r="B256" s="15" t="s">
        <v>2</v>
      </c>
      <c r="C256" s="15"/>
      <c r="D256" s="15"/>
      <c r="E256" s="15"/>
      <c r="F256" s="15" t="s">
        <v>2</v>
      </c>
      <c r="G256" s="15"/>
      <c r="H256" s="15"/>
      <c r="I256" s="15"/>
      <c r="J256" s="15"/>
      <c r="K256" s="15"/>
      <c r="L256" s="15"/>
      <c r="M256" s="15" t="s">
        <v>2</v>
      </c>
      <c r="N256" s="15"/>
      <c r="O256" s="20" t="s">
        <v>8</v>
      </c>
      <c r="P256" s="15" t="s">
        <v>2</v>
      </c>
      <c r="Q256" s="15"/>
      <c r="R256" s="15" t="s">
        <v>2</v>
      </c>
      <c r="S256" s="76"/>
      <c r="T256" s="15"/>
      <c r="U256" s="15"/>
      <c r="V256" s="15" t="s">
        <v>2</v>
      </c>
      <c r="W256" s="15"/>
      <c r="X256" s="15"/>
      <c r="Y256" s="15"/>
      <c r="Z256" s="1"/>
      <c r="AA256" s="1"/>
      <c r="AB256" s="38"/>
      <c r="AC256" s="1"/>
      <c r="AD256" s="1"/>
      <c r="AE256" s="1"/>
      <c r="AF256" s="1"/>
      <c r="AG256" s="1"/>
    </row>
    <row r="257" spans="1:33" ht="21">
      <c r="A257" s="15"/>
      <c r="B257" s="15" t="s">
        <v>2</v>
      </c>
      <c r="C257" s="15"/>
      <c r="D257" s="15"/>
      <c r="E257" s="18" t="s">
        <v>9</v>
      </c>
      <c r="F257" s="15" t="s">
        <v>2</v>
      </c>
      <c r="G257" s="15"/>
      <c r="H257" s="15"/>
      <c r="I257" s="15"/>
      <c r="J257" s="20" t="s">
        <v>10</v>
      </c>
      <c r="K257" s="20" t="s">
        <v>11</v>
      </c>
      <c r="L257" s="15"/>
      <c r="M257" s="15" t="s">
        <v>2</v>
      </c>
      <c r="N257" s="15"/>
      <c r="O257" s="20" t="s">
        <v>12</v>
      </c>
      <c r="P257" s="15" t="s">
        <v>2</v>
      </c>
      <c r="Q257" s="18" t="s">
        <v>13</v>
      </c>
      <c r="R257" s="15" t="s">
        <v>2</v>
      </c>
      <c r="S257" s="76"/>
      <c r="U257" s="15"/>
      <c r="V257" s="15" t="s">
        <v>2</v>
      </c>
      <c r="W257" s="15"/>
      <c r="X257" s="15"/>
      <c r="Y257" s="15"/>
      <c r="Z257" s="1"/>
      <c r="AA257" s="1"/>
      <c r="AB257" s="38"/>
      <c r="AC257" s="1"/>
      <c r="AD257" s="1"/>
      <c r="AE257" s="1"/>
      <c r="AF257" s="1"/>
      <c r="AG257" s="1"/>
    </row>
    <row r="258" spans="1:33" ht="21">
      <c r="A258" s="15"/>
      <c r="B258" s="15" t="s">
        <v>2</v>
      </c>
      <c r="C258" s="15"/>
      <c r="D258" s="18" t="s">
        <v>14</v>
      </c>
      <c r="E258" s="18" t="s">
        <v>15</v>
      </c>
      <c r="F258" s="15" t="s">
        <v>2</v>
      </c>
      <c r="G258" s="20" t="s">
        <v>215</v>
      </c>
      <c r="H258" s="20" t="s">
        <v>16</v>
      </c>
      <c r="I258" s="20" t="s">
        <v>17</v>
      </c>
      <c r="J258" s="20" t="s">
        <v>18</v>
      </c>
      <c r="K258" s="20" t="s">
        <v>19</v>
      </c>
      <c r="L258" s="20" t="s">
        <v>9</v>
      </c>
      <c r="M258" s="15" t="s">
        <v>2</v>
      </c>
      <c r="N258" s="20" t="s">
        <v>20</v>
      </c>
      <c r="O258" s="20" t="s">
        <v>21</v>
      </c>
      <c r="P258" s="15" t="s">
        <v>2</v>
      </c>
      <c r="Q258" s="20" t="s">
        <v>22</v>
      </c>
      <c r="R258" s="15" t="s">
        <v>2</v>
      </c>
      <c r="S258" s="76"/>
      <c r="T258" s="9" t="s">
        <v>23</v>
      </c>
      <c r="U258" s="15"/>
      <c r="V258" s="15" t="s">
        <v>2</v>
      </c>
      <c r="W258" s="15"/>
      <c r="X258" s="15"/>
      <c r="Y258" s="15"/>
      <c r="Z258" s="1"/>
      <c r="AA258" s="1"/>
      <c r="AB258" s="38"/>
      <c r="AC258" s="1"/>
      <c r="AD258" s="1"/>
      <c r="AE258" s="1"/>
      <c r="AF258" s="1"/>
      <c r="AG258" s="1"/>
    </row>
    <row r="259" spans="1:33" ht="21">
      <c r="A259" s="15"/>
      <c r="B259" s="15" t="s">
        <v>2</v>
      </c>
      <c r="C259" s="18" t="s">
        <v>15</v>
      </c>
      <c r="D259" s="18" t="s">
        <v>25</v>
      </c>
      <c r="E259" s="18" t="s">
        <v>14</v>
      </c>
      <c r="F259" s="15" t="s">
        <v>2</v>
      </c>
      <c r="G259" s="20" t="s">
        <v>216</v>
      </c>
      <c r="H259" s="20" t="s">
        <v>26</v>
      </c>
      <c r="I259" s="20" t="s">
        <v>16</v>
      </c>
      <c r="J259" s="20" t="s">
        <v>27</v>
      </c>
      <c r="K259" s="20" t="s">
        <v>28</v>
      </c>
      <c r="L259" s="20" t="s">
        <v>29</v>
      </c>
      <c r="M259" s="15" t="s">
        <v>2</v>
      </c>
      <c r="N259" s="20" t="s">
        <v>15</v>
      </c>
      <c r="O259" s="20" t="s">
        <v>30</v>
      </c>
      <c r="P259" s="15" t="s">
        <v>2</v>
      </c>
      <c r="Q259" s="20" t="s">
        <v>12</v>
      </c>
      <c r="R259" s="15" t="s">
        <v>2</v>
      </c>
      <c r="T259" s="18" t="str">
        <f>+T215</f>
        <v>Extra</v>
      </c>
      <c r="U259" s="20" t="s">
        <v>31</v>
      </c>
      <c r="V259" s="15" t="s">
        <v>2</v>
      </c>
      <c r="W259" s="23"/>
      <c r="X259" s="23"/>
      <c r="Y259" s="23"/>
      <c r="Z259" s="1"/>
      <c r="AA259" s="1"/>
      <c r="AB259" s="38"/>
      <c r="AC259" s="1"/>
      <c r="AD259" s="1"/>
      <c r="AE259" s="1"/>
      <c r="AF259" s="1"/>
      <c r="AG259" s="1"/>
    </row>
    <row r="260" spans="1:45" ht="22.5">
      <c r="A260" s="15"/>
      <c r="B260" s="15" t="s">
        <v>2</v>
      </c>
      <c r="C260" s="18" t="s">
        <v>14</v>
      </c>
      <c r="D260" s="18" t="s">
        <v>33</v>
      </c>
      <c r="E260" s="18" t="s">
        <v>34</v>
      </c>
      <c r="F260" s="15" t="s">
        <v>2</v>
      </c>
      <c r="G260" s="20" t="s">
        <v>35</v>
      </c>
      <c r="H260" s="20" t="s">
        <v>36</v>
      </c>
      <c r="I260" s="20" t="s">
        <v>37</v>
      </c>
      <c r="J260" s="20" t="s">
        <v>38</v>
      </c>
      <c r="K260" s="20" t="s">
        <v>39</v>
      </c>
      <c r="L260" s="20" t="s">
        <v>40</v>
      </c>
      <c r="M260" s="15" t="s">
        <v>2</v>
      </c>
      <c r="N260" s="20" t="s">
        <v>14</v>
      </c>
      <c r="O260" s="20" t="s">
        <v>41</v>
      </c>
      <c r="P260" s="15" t="s">
        <v>2</v>
      </c>
      <c r="Q260" s="22">
        <f>Q10</f>
        <v>0.25577674211452567</v>
      </c>
      <c r="R260" s="15" t="s">
        <v>2</v>
      </c>
      <c r="S260" s="80" t="str">
        <f>+S216</f>
        <v>Apportionment</v>
      </c>
      <c r="T260" s="18" t="str">
        <f>+T216</f>
        <v>Mile</v>
      </c>
      <c r="U260" s="20" t="s">
        <v>42</v>
      </c>
      <c r="V260" s="15" t="s">
        <v>2</v>
      </c>
      <c r="W260" s="23"/>
      <c r="X260" s="23"/>
      <c r="Y260" s="23"/>
      <c r="Z260" s="1"/>
      <c r="AA260" s="1"/>
      <c r="AB260" s="38"/>
      <c r="AC260" s="1"/>
      <c r="AD260" s="1"/>
      <c r="AE260" s="1"/>
      <c r="AF260" s="1"/>
      <c r="AG260" s="1"/>
      <c r="AK260" s="60" t="s">
        <v>513</v>
      </c>
      <c r="AS260" s="60" t="s">
        <v>505</v>
      </c>
    </row>
    <row r="261" spans="1:33" ht="21">
      <c r="A261" s="15"/>
      <c r="B261" s="15"/>
      <c r="C261" s="15"/>
      <c r="D261" s="15"/>
      <c r="E261" s="15"/>
      <c r="F261" s="15"/>
      <c r="G261" s="19" t="s">
        <v>3</v>
      </c>
      <c r="H261" s="19" t="s">
        <v>3</v>
      </c>
      <c r="I261" s="19" t="s">
        <v>3</v>
      </c>
      <c r="J261" s="19" t="s">
        <v>3</v>
      </c>
      <c r="K261" s="19" t="s">
        <v>3</v>
      </c>
      <c r="L261" s="19" t="s">
        <v>3</v>
      </c>
      <c r="M261" s="15"/>
      <c r="N261" s="15"/>
      <c r="O261" s="15"/>
      <c r="P261" s="15"/>
      <c r="Q261" s="22"/>
      <c r="R261" s="15"/>
      <c r="S261" s="76"/>
      <c r="T261" s="15"/>
      <c r="U261" s="15"/>
      <c r="V261" s="15"/>
      <c r="W261" s="15"/>
      <c r="X261" s="15"/>
      <c r="Y261" s="15"/>
      <c r="Z261" s="1"/>
      <c r="AA261" s="1"/>
      <c r="AB261" s="38"/>
      <c r="AC261" s="1"/>
      <c r="AD261" s="1"/>
      <c r="AE261" s="1"/>
      <c r="AF261" s="1"/>
      <c r="AG261" s="1"/>
    </row>
    <row r="262" spans="1:65" ht="101.25" thickBot="1">
      <c r="A262" s="19" t="s">
        <v>3</v>
      </c>
      <c r="B262" s="15"/>
      <c r="C262" s="19" t="s">
        <v>3</v>
      </c>
      <c r="D262" s="19" t="s">
        <v>3</v>
      </c>
      <c r="E262" s="19" t="s">
        <v>3</v>
      </c>
      <c r="F262" s="15"/>
      <c r="G262" s="19" t="s">
        <v>3</v>
      </c>
      <c r="H262" s="19" t="s">
        <v>3</v>
      </c>
      <c r="I262" s="19" t="s">
        <v>3</v>
      </c>
      <c r="J262" s="19" t="s">
        <v>3</v>
      </c>
      <c r="K262" s="19" t="s">
        <v>3</v>
      </c>
      <c r="L262" s="19" t="s">
        <v>3</v>
      </c>
      <c r="M262" s="15"/>
      <c r="N262" s="19" t="s">
        <v>3</v>
      </c>
      <c r="O262" s="19" t="s">
        <v>3</v>
      </c>
      <c r="P262" s="15"/>
      <c r="Q262" s="19" t="s">
        <v>3</v>
      </c>
      <c r="R262" s="15"/>
      <c r="S262" s="78" t="s">
        <v>3</v>
      </c>
      <c r="T262" s="19" t="s">
        <v>3</v>
      </c>
      <c r="U262" s="19" t="s">
        <v>3</v>
      </c>
      <c r="V262" s="15"/>
      <c r="X262" s="69" t="s">
        <v>577</v>
      </c>
      <c r="Y262" s="69" t="s">
        <v>508</v>
      </c>
      <c r="Z262" s="24">
        <v>2020</v>
      </c>
      <c r="AA262" s="24">
        <v>2019</v>
      </c>
      <c r="AB262" s="24">
        <v>2018</v>
      </c>
      <c r="AC262" s="25" t="s">
        <v>394</v>
      </c>
      <c r="AD262" s="26"/>
      <c r="AE262" s="1"/>
      <c r="AF262" s="1"/>
      <c r="AG262" s="1"/>
      <c r="AK262" s="27" t="s">
        <v>379</v>
      </c>
      <c r="AL262" s="27" t="s">
        <v>380</v>
      </c>
      <c r="AM262" s="27" t="s">
        <v>381</v>
      </c>
      <c r="AN262" s="27" t="s">
        <v>382</v>
      </c>
      <c r="AO262" s="27" t="s">
        <v>383</v>
      </c>
      <c r="AS262" s="27" t="s">
        <v>379</v>
      </c>
      <c r="AT262" s="27" t="s">
        <v>380</v>
      </c>
      <c r="AU262" s="27" t="s">
        <v>381</v>
      </c>
      <c r="AV262" s="27" t="s">
        <v>382</v>
      </c>
      <c r="AW262" s="27" t="s">
        <v>383</v>
      </c>
      <c r="BI262" s="27" t="s">
        <v>379</v>
      </c>
      <c r="BJ262" s="27" t="s">
        <v>380</v>
      </c>
      <c r="BK262" s="27" t="s">
        <v>381</v>
      </c>
      <c r="BL262" s="27" t="s">
        <v>382</v>
      </c>
      <c r="BM262" s="27" t="s">
        <v>383</v>
      </c>
    </row>
    <row r="263" spans="1:65" ht="21">
      <c r="A263" s="15" t="s">
        <v>122</v>
      </c>
      <c r="B263" s="28"/>
      <c r="C263" s="29">
        <f aca="true" t="shared" si="102" ref="C263:C274">AK263</f>
        <v>110675</v>
      </c>
      <c r="D263" s="21">
        <f aca="true" t="shared" si="103" ref="D263:D274">AL263</f>
        <v>0</v>
      </c>
      <c r="E263" s="15">
        <f>D263+C263</f>
        <v>110675</v>
      </c>
      <c r="F263" s="15"/>
      <c r="G263" s="15">
        <f aca="true" t="shared" si="104" ref="G263:G274">AM263</f>
        <v>0</v>
      </c>
      <c r="H263" s="21">
        <f aca="true" t="shared" si="105" ref="H263:H274">AN263</f>
        <v>13228</v>
      </c>
      <c r="I263" s="15">
        <f aca="true" t="shared" si="106" ref="I263:I274">H263*0.5</f>
        <v>6614</v>
      </c>
      <c r="J263" s="21">
        <f aca="true" t="shared" si="107" ref="J263:J274">AO263</f>
        <v>0</v>
      </c>
      <c r="K263" s="15">
        <f aca="true" t="shared" si="108" ref="K263:K273">J263*0.25</f>
        <v>0</v>
      </c>
      <c r="L263" s="15">
        <f aca="true" t="shared" si="109" ref="L263:L273">+G263+I263+K263</f>
        <v>6614</v>
      </c>
      <c r="M263" s="15"/>
      <c r="N263" s="15">
        <f>E263-L263</f>
        <v>104061</v>
      </c>
      <c r="O263" s="15">
        <f>IF(N263&gt;=4000,(N263-4000)*0.9+2200,IF(N263&gt;=3000,(N263-3000)*0.8+1400,IF(N263&gt;=2000,(N263-2000)*0.6+800,IF(N263&gt;0,N263*0.4,0))))</f>
        <v>92254.90000000001</v>
      </c>
      <c r="P263" s="15"/>
      <c r="Q263" s="30" t="s">
        <v>44</v>
      </c>
      <c r="R263" s="15"/>
      <c r="S263" s="76">
        <f>ROUND(SUM(O263*$Q$10),0)</f>
        <v>23597</v>
      </c>
      <c r="T263" s="15">
        <f>ROUND(SUM(S263*0.1),0)</f>
        <v>2360</v>
      </c>
      <c r="U263" s="15">
        <f>SUM(S263:T263)</f>
        <v>25957</v>
      </c>
      <c r="V263" s="15"/>
      <c r="W263" s="15" t="s">
        <v>122</v>
      </c>
      <c r="X263" s="15">
        <f>S263</f>
        <v>23597</v>
      </c>
      <c r="Y263" s="15">
        <v>20092</v>
      </c>
      <c r="Z263" s="15">
        <v>10875</v>
      </c>
      <c r="AA263" s="15">
        <v>15312</v>
      </c>
      <c r="AB263" s="31">
        <v>19919</v>
      </c>
      <c r="AC263" s="15">
        <f>Z263-AA263</f>
        <v>-4437</v>
      </c>
      <c r="AD263" s="1"/>
      <c r="AE263" s="3">
        <v>1</v>
      </c>
      <c r="AF263" s="1" t="s">
        <v>122</v>
      </c>
      <c r="AG263" s="1">
        <v>15312</v>
      </c>
      <c r="AJ263" s="81" t="s">
        <v>343</v>
      </c>
      <c r="AK263" s="84">
        <v>110675</v>
      </c>
      <c r="AL263" s="81">
        <v>0</v>
      </c>
      <c r="AM263" s="81">
        <v>0</v>
      </c>
      <c r="AN263" s="84">
        <v>13228</v>
      </c>
      <c r="AO263" s="81">
        <v>0</v>
      </c>
      <c r="AR263" s="32" t="s">
        <v>343</v>
      </c>
      <c r="AS263" s="57">
        <v>101539</v>
      </c>
      <c r="AT263" s="57">
        <v>0</v>
      </c>
      <c r="AU263" s="57">
        <v>0</v>
      </c>
      <c r="AV263" s="57">
        <v>12738.4</v>
      </c>
      <c r="AW263" s="57">
        <v>0</v>
      </c>
      <c r="AZ263" s="32" t="s">
        <v>455</v>
      </c>
      <c r="BA263" s="57">
        <v>101539</v>
      </c>
      <c r="BB263" s="57">
        <v>0</v>
      </c>
      <c r="BC263" s="57">
        <v>0</v>
      </c>
      <c r="BD263" s="57">
        <v>12738.4</v>
      </c>
      <c r="BE263" s="57">
        <v>0</v>
      </c>
      <c r="BF263" s="50"/>
      <c r="BH263" s="32" t="s">
        <v>343</v>
      </c>
      <c r="BI263" s="33">
        <v>50060.85</v>
      </c>
      <c r="BJ263" s="33">
        <v>0</v>
      </c>
      <c r="BK263" s="33">
        <v>0</v>
      </c>
      <c r="BL263" s="33">
        <v>0</v>
      </c>
      <c r="BM263" s="33">
        <v>0</v>
      </c>
    </row>
    <row r="264" spans="1:65" ht="21">
      <c r="A264" s="15" t="s">
        <v>123</v>
      </c>
      <c r="B264" s="28"/>
      <c r="C264" s="29">
        <f t="shared" si="102"/>
        <v>40788</v>
      </c>
      <c r="D264" s="21">
        <f t="shared" si="103"/>
        <v>2568</v>
      </c>
      <c r="E264" s="15">
        <f aca="true" t="shared" si="110" ref="E264:E274">D264+C264</f>
        <v>43356</v>
      </c>
      <c r="F264" s="15"/>
      <c r="G264" s="15">
        <f t="shared" si="104"/>
        <v>0</v>
      </c>
      <c r="H264" s="21">
        <f t="shared" si="105"/>
        <v>0</v>
      </c>
      <c r="I264" s="15">
        <f t="shared" si="106"/>
        <v>0</v>
      </c>
      <c r="J264" s="21">
        <f t="shared" si="107"/>
        <v>0</v>
      </c>
      <c r="K264" s="15">
        <f t="shared" si="108"/>
        <v>0</v>
      </c>
      <c r="L264" s="15">
        <f t="shared" si="109"/>
        <v>0</v>
      </c>
      <c r="M264" s="15"/>
      <c r="N264" s="15">
        <f>E264-L264</f>
        <v>43356</v>
      </c>
      <c r="O264" s="15">
        <f>IF(N264&gt;=4000,(N264-4000)*0.9+2200,IF(N264&gt;=3000,(N264-3000)*0.8+1400,IF(N264&gt;=2000,(N264-2000)*0.6+800,IF(N264&gt;0,N264*0.4,0))))</f>
        <v>37620.4</v>
      </c>
      <c r="P264" s="15"/>
      <c r="Q264" s="30" t="s">
        <v>44</v>
      </c>
      <c r="R264" s="15"/>
      <c r="S264" s="76">
        <f>ROUND(SUM(O264*$Q$10),0)</f>
        <v>9622</v>
      </c>
      <c r="T264" s="15">
        <f>ROUND(SUM(S264*0.1),0)</f>
        <v>962</v>
      </c>
      <c r="U264" s="15">
        <f>SUM(S264:T264)</f>
        <v>10584</v>
      </c>
      <c r="V264" s="15"/>
      <c r="W264" s="15" t="s">
        <v>123</v>
      </c>
      <c r="X264" s="15">
        <f aca="true" t="shared" si="111" ref="X264:X274">S264</f>
        <v>9622</v>
      </c>
      <c r="Y264" s="15">
        <v>12749</v>
      </c>
      <c r="Z264" s="15">
        <v>13244</v>
      </c>
      <c r="AA264" s="15">
        <v>14402</v>
      </c>
      <c r="AB264" s="31">
        <v>14245</v>
      </c>
      <c r="AC264" s="15">
        <f aca="true" t="shared" si="112" ref="AC264:AC281">Z264-AA264</f>
        <v>-1158</v>
      </c>
      <c r="AD264" s="1"/>
      <c r="AE264" s="3">
        <v>1</v>
      </c>
      <c r="AF264" s="1" t="s">
        <v>123</v>
      </c>
      <c r="AG264" s="1">
        <v>14402</v>
      </c>
      <c r="AJ264" s="81" t="s">
        <v>350</v>
      </c>
      <c r="AK264" s="81">
        <v>40788</v>
      </c>
      <c r="AL264" s="81">
        <v>2568</v>
      </c>
      <c r="AM264" s="81">
        <v>0</v>
      </c>
      <c r="AN264" s="81">
        <v>0</v>
      </c>
      <c r="AO264" s="81">
        <v>0</v>
      </c>
      <c r="AR264" s="32" t="s">
        <v>350</v>
      </c>
      <c r="AS264" s="57">
        <v>61795</v>
      </c>
      <c r="AT264" s="57">
        <v>2237</v>
      </c>
      <c r="AU264" s="57">
        <v>0</v>
      </c>
      <c r="AV264" s="57">
        <v>6148</v>
      </c>
      <c r="AW264" s="57">
        <v>0</v>
      </c>
      <c r="AZ264" s="32" t="s">
        <v>350</v>
      </c>
      <c r="BA264" s="57">
        <v>61795</v>
      </c>
      <c r="BB264" s="57">
        <v>2237</v>
      </c>
      <c r="BC264" s="57">
        <v>0</v>
      </c>
      <c r="BD264" s="57">
        <v>6148</v>
      </c>
      <c r="BE264" s="57">
        <v>0</v>
      </c>
      <c r="BF264" s="50"/>
      <c r="BH264" s="32" t="s">
        <v>350</v>
      </c>
      <c r="BI264" s="33">
        <v>62328</v>
      </c>
      <c r="BJ264" s="33">
        <v>2185</v>
      </c>
      <c r="BK264" s="33">
        <v>0</v>
      </c>
      <c r="BL264" s="33">
        <v>7772</v>
      </c>
      <c r="BM264" s="33">
        <v>0</v>
      </c>
    </row>
    <row r="265" spans="1:65" ht="21">
      <c r="A265" s="15" t="s">
        <v>124</v>
      </c>
      <c r="B265" s="28"/>
      <c r="C265" s="29">
        <f t="shared" si="102"/>
        <v>39772</v>
      </c>
      <c r="D265" s="21">
        <f t="shared" si="103"/>
        <v>0</v>
      </c>
      <c r="E265" s="15">
        <f t="shared" si="110"/>
        <v>39772</v>
      </c>
      <c r="F265" s="15"/>
      <c r="G265" s="15">
        <f t="shared" si="104"/>
        <v>0</v>
      </c>
      <c r="H265" s="21">
        <f t="shared" si="105"/>
        <v>0</v>
      </c>
      <c r="I265" s="15">
        <f t="shared" si="106"/>
        <v>0</v>
      </c>
      <c r="J265" s="21">
        <f t="shared" si="107"/>
        <v>0</v>
      </c>
      <c r="K265" s="15">
        <f t="shared" si="108"/>
        <v>0</v>
      </c>
      <c r="L265" s="15">
        <f t="shared" si="109"/>
        <v>0</v>
      </c>
      <c r="M265" s="15"/>
      <c r="N265" s="15">
        <f>E265-L265</f>
        <v>39772</v>
      </c>
      <c r="O265" s="15">
        <f>IF(N265&gt;=4000,(N265-4000)*0.9+2200,IF(N265&gt;=3000,(N265-3000)*0.8+1400,IF(N265&gt;=2000,(N265-2000)*0.6+800,IF(N265&gt;0,N265*0.4,0))))</f>
        <v>34394.8</v>
      </c>
      <c r="P265" s="15"/>
      <c r="Q265" s="30" t="s">
        <v>44</v>
      </c>
      <c r="R265" s="15"/>
      <c r="S265" s="76">
        <f>ROUND(SUM(O265*$Q$10),0)</f>
        <v>8797</v>
      </c>
      <c r="T265" s="15">
        <f>ROUND(SUM(S265*0.1),0)</f>
        <v>880</v>
      </c>
      <c r="U265" s="15">
        <f>SUM(S265:T265)</f>
        <v>9677</v>
      </c>
      <c r="V265" s="15"/>
      <c r="W265" s="15" t="s">
        <v>124</v>
      </c>
      <c r="X265" s="15">
        <f t="shared" si="111"/>
        <v>8797</v>
      </c>
      <c r="Y265" s="15">
        <v>16647</v>
      </c>
      <c r="Z265" s="15">
        <v>16906</v>
      </c>
      <c r="AA265" s="15">
        <v>18634</v>
      </c>
      <c r="AB265" s="31">
        <v>15692</v>
      </c>
      <c r="AC265" s="15">
        <f t="shared" si="112"/>
        <v>-1728</v>
      </c>
      <c r="AD265" s="1"/>
      <c r="AE265" s="3">
        <v>1</v>
      </c>
      <c r="AF265" s="1" t="s">
        <v>124</v>
      </c>
      <c r="AG265" s="1">
        <v>18634</v>
      </c>
      <c r="AJ265" s="81" t="s">
        <v>353</v>
      </c>
      <c r="AK265" s="81">
        <v>39772</v>
      </c>
      <c r="AL265" s="81">
        <v>0</v>
      </c>
      <c r="AM265" s="81">
        <v>0</v>
      </c>
      <c r="AN265" s="81">
        <v>0</v>
      </c>
      <c r="AO265" s="81">
        <v>0</v>
      </c>
      <c r="AR265" s="32" t="s">
        <v>353</v>
      </c>
      <c r="AS265" s="57">
        <v>82244</v>
      </c>
      <c r="AT265" s="57">
        <v>0</v>
      </c>
      <c r="AU265" s="57">
        <v>0</v>
      </c>
      <c r="AV265" s="57">
        <v>6253</v>
      </c>
      <c r="AW265" s="57">
        <v>0</v>
      </c>
      <c r="AZ265" s="32" t="s">
        <v>353</v>
      </c>
      <c r="BA265" s="57">
        <v>82244</v>
      </c>
      <c r="BB265" s="57">
        <v>0</v>
      </c>
      <c r="BC265" s="57">
        <v>0</v>
      </c>
      <c r="BD265" s="57">
        <v>6253</v>
      </c>
      <c r="BE265" s="57">
        <v>0</v>
      </c>
      <c r="BF265" s="50"/>
      <c r="BH265" s="32" t="s">
        <v>353</v>
      </c>
      <c r="BI265" s="33">
        <v>80843</v>
      </c>
      <c r="BJ265" s="33">
        <v>0</v>
      </c>
      <c r="BK265" s="33">
        <v>0</v>
      </c>
      <c r="BL265" s="33">
        <v>7772</v>
      </c>
      <c r="BM265" s="33">
        <v>0</v>
      </c>
    </row>
    <row r="266" spans="1:65" ht="21.75">
      <c r="A266" s="15" t="s">
        <v>125</v>
      </c>
      <c r="B266" s="62" t="s">
        <v>105</v>
      </c>
      <c r="C266" s="29">
        <f t="shared" si="102"/>
        <v>114687</v>
      </c>
      <c r="D266" s="21">
        <f t="shared" si="103"/>
        <v>0</v>
      </c>
      <c r="E266" s="15">
        <f t="shared" si="110"/>
        <v>114687</v>
      </c>
      <c r="F266" s="15"/>
      <c r="G266" s="15">
        <f t="shared" si="104"/>
        <v>0</v>
      </c>
      <c r="H266" s="21">
        <f t="shared" si="105"/>
        <v>16848</v>
      </c>
      <c r="I266" s="15">
        <f t="shared" si="106"/>
        <v>8424</v>
      </c>
      <c r="J266" s="21">
        <f t="shared" si="107"/>
        <v>0</v>
      </c>
      <c r="K266" s="15">
        <f t="shared" si="108"/>
        <v>0</v>
      </c>
      <c r="L266" s="15">
        <f t="shared" si="109"/>
        <v>8424</v>
      </c>
      <c r="M266" s="15"/>
      <c r="N266" s="15">
        <f>E266-L266</f>
        <v>106263</v>
      </c>
      <c r="O266" s="15">
        <f>IF(N266&gt;=4000,(N266-4000)*0.9+2200,IF(N266&gt;=3000,(N266-3000)*0.8+1400,IF(N266&gt;=2000,(N266-2000)*0.6+800,IF(N266&gt;0,N266*0.4,0))))</f>
        <v>94236.7</v>
      </c>
      <c r="P266" s="15"/>
      <c r="Q266" s="30" t="s">
        <v>44</v>
      </c>
      <c r="R266" s="15"/>
      <c r="S266" s="76">
        <f>ROUND(SUM(O266*$Q$10),0)</f>
        <v>24104</v>
      </c>
      <c r="T266" s="15">
        <f>ROUND(SUM(S266*0.1),0)</f>
        <v>2410</v>
      </c>
      <c r="U266" s="15">
        <f>SUM(S266:T266)</f>
        <v>26514</v>
      </c>
      <c r="V266" s="15"/>
      <c r="W266" s="15" t="s">
        <v>125</v>
      </c>
      <c r="X266" s="15">
        <f t="shared" si="111"/>
        <v>24104</v>
      </c>
      <c r="Y266" s="15">
        <v>22473</v>
      </c>
      <c r="Z266" s="15">
        <v>23342</v>
      </c>
      <c r="AA266" s="15">
        <v>22121</v>
      </c>
      <c r="AB266" s="31">
        <v>21313</v>
      </c>
      <c r="AC266" s="15">
        <f t="shared" si="112"/>
        <v>1221</v>
      </c>
      <c r="AD266" s="1"/>
      <c r="AE266" s="3">
        <v>1</v>
      </c>
      <c r="AF266" s="1" t="s">
        <v>125</v>
      </c>
      <c r="AG266" s="1">
        <v>22121</v>
      </c>
      <c r="AJ266" s="89"/>
      <c r="AK266" s="91">
        <f>AS266</f>
        <v>114687</v>
      </c>
      <c r="AL266" s="91">
        <f>AT266</f>
        <v>0</v>
      </c>
      <c r="AM266" s="91">
        <f>AU266</f>
        <v>0</v>
      </c>
      <c r="AN266" s="91">
        <f>AV266</f>
        <v>16848</v>
      </c>
      <c r="AO266" s="91">
        <f>AW266</f>
        <v>0</v>
      </c>
      <c r="AR266" s="32" t="s">
        <v>344</v>
      </c>
      <c r="AS266" s="57">
        <v>114687</v>
      </c>
      <c r="AT266" s="57">
        <v>0</v>
      </c>
      <c r="AU266" s="57">
        <v>0</v>
      </c>
      <c r="AV266" s="57">
        <v>16848</v>
      </c>
      <c r="AW266" s="57">
        <v>0</v>
      </c>
      <c r="AZ266" s="32" t="s">
        <v>456</v>
      </c>
      <c r="BA266" s="57">
        <v>114687</v>
      </c>
      <c r="BB266" s="57" t="s">
        <v>457</v>
      </c>
      <c r="BC266" s="57">
        <v>0</v>
      </c>
      <c r="BD266" s="57">
        <v>16848</v>
      </c>
      <c r="BE266" s="57">
        <v>0</v>
      </c>
      <c r="BF266" s="50"/>
      <c r="BH266" s="32" t="s">
        <v>344</v>
      </c>
      <c r="BI266" s="33">
        <v>113824</v>
      </c>
      <c r="BJ266" s="33">
        <v>0</v>
      </c>
      <c r="BK266" s="33">
        <v>0</v>
      </c>
      <c r="BL266" s="33">
        <v>16318</v>
      </c>
      <c r="BM266" s="33">
        <v>0</v>
      </c>
    </row>
    <row r="267" spans="1:65" ht="21">
      <c r="A267" s="15" t="s">
        <v>127</v>
      </c>
      <c r="B267" s="28"/>
      <c r="C267" s="29">
        <f t="shared" si="102"/>
        <v>66981</v>
      </c>
      <c r="D267" s="21">
        <f t="shared" si="103"/>
        <v>0</v>
      </c>
      <c r="E267" s="15">
        <f t="shared" si="110"/>
        <v>66981</v>
      </c>
      <c r="F267" s="15"/>
      <c r="G267" s="15">
        <f t="shared" si="104"/>
        <v>0</v>
      </c>
      <c r="H267" s="21">
        <f t="shared" si="105"/>
        <v>0</v>
      </c>
      <c r="I267" s="15">
        <f t="shared" si="106"/>
        <v>0</v>
      </c>
      <c r="J267" s="21">
        <f t="shared" si="107"/>
        <v>0</v>
      </c>
      <c r="K267" s="15">
        <f t="shared" si="108"/>
        <v>0</v>
      </c>
      <c r="L267" s="15">
        <f t="shared" si="109"/>
        <v>0</v>
      </c>
      <c r="M267" s="15"/>
      <c r="N267" s="15">
        <f aca="true" t="shared" si="113" ref="N267:N272">E267-L267</f>
        <v>66981</v>
      </c>
      <c r="O267" s="15">
        <f aca="true" t="shared" si="114" ref="O267:O273">IF(N267&gt;=4000,(N267-4000)*0.9+2200,IF(N267&gt;=3000,(N267-3000)*0.8+1400,IF(N267&gt;=2000,(N267-2000)*0.6+800,IF(N267&gt;0,N267*0.4,0))))</f>
        <v>58882.9</v>
      </c>
      <c r="P267" s="15"/>
      <c r="Q267" s="30" t="s">
        <v>44</v>
      </c>
      <c r="R267" s="15"/>
      <c r="S267" s="76">
        <f aca="true" t="shared" si="115" ref="S267:S273">ROUND(SUM(O267*$Q$10),0)</f>
        <v>15061</v>
      </c>
      <c r="T267" s="15">
        <f aca="true" t="shared" si="116" ref="T267:T273">ROUND(SUM(S267*0.1),0)</f>
        <v>1506</v>
      </c>
      <c r="U267" s="15">
        <f aca="true" t="shared" si="117" ref="U267:U273">SUM(S267:T267)</f>
        <v>16567</v>
      </c>
      <c r="V267" s="15"/>
      <c r="W267" s="15" t="s">
        <v>127</v>
      </c>
      <c r="X267" s="15">
        <f t="shared" si="111"/>
        <v>15061</v>
      </c>
      <c r="Y267" s="15">
        <v>18306</v>
      </c>
      <c r="Z267" s="15">
        <v>20138</v>
      </c>
      <c r="AA267" s="15">
        <v>18467</v>
      </c>
      <c r="AB267" s="31">
        <v>20707</v>
      </c>
      <c r="AC267" s="15">
        <f t="shared" si="112"/>
        <v>1671</v>
      </c>
      <c r="AD267" s="1"/>
      <c r="AE267" s="3">
        <v>1</v>
      </c>
      <c r="AF267" s="1" t="s">
        <v>127</v>
      </c>
      <c r="AG267" s="1">
        <v>18467</v>
      </c>
      <c r="AJ267" s="81" t="s">
        <v>459</v>
      </c>
      <c r="AK267" s="84">
        <v>66981</v>
      </c>
      <c r="AL267" s="81">
        <v>0</v>
      </c>
      <c r="AM267" s="81">
        <v>0</v>
      </c>
      <c r="AN267" s="81">
        <v>0</v>
      </c>
      <c r="AR267" s="32" t="s">
        <v>345</v>
      </c>
      <c r="AS267" s="57">
        <v>86847</v>
      </c>
      <c r="AT267" s="57">
        <v>0</v>
      </c>
      <c r="AU267" s="57">
        <v>0</v>
      </c>
      <c r="AV267" s="57">
        <v>0</v>
      </c>
      <c r="AW267" s="57">
        <v>0</v>
      </c>
      <c r="AZ267" s="32" t="s">
        <v>459</v>
      </c>
      <c r="BA267" s="57">
        <v>86847</v>
      </c>
      <c r="BB267" s="57">
        <v>0</v>
      </c>
      <c r="BC267" s="57">
        <v>0</v>
      </c>
      <c r="BD267" s="57">
        <v>0</v>
      </c>
      <c r="BE267" s="57">
        <v>0</v>
      </c>
      <c r="BF267" s="50"/>
      <c r="BH267" s="32" t="s">
        <v>345</v>
      </c>
      <c r="BI267" s="33">
        <v>92921.51</v>
      </c>
      <c r="BJ267" s="33">
        <v>0</v>
      </c>
      <c r="BK267" s="33">
        <v>0</v>
      </c>
      <c r="BL267" s="33">
        <v>0</v>
      </c>
      <c r="BM267" s="33">
        <v>6201</v>
      </c>
    </row>
    <row r="268" spans="1:65" ht="21">
      <c r="A268" s="15" t="s">
        <v>128</v>
      </c>
      <c r="B268" s="28"/>
      <c r="C268" s="29">
        <f t="shared" si="102"/>
        <v>120075</v>
      </c>
      <c r="D268" s="21">
        <f t="shared" si="103"/>
        <v>0</v>
      </c>
      <c r="E268" s="15">
        <f t="shared" si="110"/>
        <v>120075</v>
      </c>
      <c r="F268" s="15"/>
      <c r="G268" s="15">
        <f t="shared" si="104"/>
        <v>0</v>
      </c>
      <c r="H268" s="21">
        <f t="shared" si="105"/>
        <v>0</v>
      </c>
      <c r="I268" s="15">
        <f t="shared" si="106"/>
        <v>0</v>
      </c>
      <c r="J268" s="21">
        <f t="shared" si="107"/>
        <v>0</v>
      </c>
      <c r="K268" s="15">
        <f t="shared" si="108"/>
        <v>0</v>
      </c>
      <c r="L268" s="15">
        <f t="shared" si="109"/>
        <v>0</v>
      </c>
      <c r="M268" s="15"/>
      <c r="N268" s="15">
        <f t="shared" si="113"/>
        <v>120075</v>
      </c>
      <c r="O268" s="15">
        <f t="shared" si="114"/>
        <v>106667.5</v>
      </c>
      <c r="P268" s="15"/>
      <c r="Q268" s="30" t="s">
        <v>44</v>
      </c>
      <c r="R268" s="15"/>
      <c r="S268" s="76">
        <f t="shared" si="115"/>
        <v>27283</v>
      </c>
      <c r="T268" s="15">
        <f t="shared" si="116"/>
        <v>2728</v>
      </c>
      <c r="U268" s="15">
        <f t="shared" si="117"/>
        <v>30011</v>
      </c>
      <c r="V268" s="15"/>
      <c r="W268" s="15" t="s">
        <v>128</v>
      </c>
      <c r="X268" s="15">
        <f t="shared" si="111"/>
        <v>27283</v>
      </c>
      <c r="Y268" s="15">
        <v>27681</v>
      </c>
      <c r="Z268" s="15">
        <v>28372</v>
      </c>
      <c r="AA268" s="15">
        <v>28008</v>
      </c>
      <c r="AB268" s="31">
        <v>25213</v>
      </c>
      <c r="AC268" s="15">
        <f t="shared" si="112"/>
        <v>364</v>
      </c>
      <c r="AD268" s="1"/>
      <c r="AE268" s="3">
        <v>1</v>
      </c>
      <c r="AF268" s="1" t="s">
        <v>128</v>
      </c>
      <c r="AG268" s="1">
        <v>28008</v>
      </c>
      <c r="AJ268" s="81" t="s">
        <v>460</v>
      </c>
      <c r="AK268" s="81">
        <v>120075</v>
      </c>
      <c r="AL268" s="81">
        <v>0</v>
      </c>
      <c r="AM268" s="81">
        <v>0</v>
      </c>
      <c r="AN268" s="81">
        <v>0</v>
      </c>
      <c r="AO268" s="81">
        <v>0</v>
      </c>
      <c r="AR268" s="32" t="s">
        <v>348</v>
      </c>
      <c r="AS268" s="57">
        <v>130531</v>
      </c>
      <c r="AT268" s="57">
        <v>0</v>
      </c>
      <c r="AU268" s="57">
        <v>0</v>
      </c>
      <c r="AV268" s="57">
        <v>0</v>
      </c>
      <c r="AW268" s="57">
        <v>0</v>
      </c>
      <c r="AZ268" s="32" t="s">
        <v>460</v>
      </c>
      <c r="BA268" s="57">
        <v>130531</v>
      </c>
      <c r="BB268" s="57">
        <v>0</v>
      </c>
      <c r="BC268" s="57">
        <v>0</v>
      </c>
      <c r="BD268" s="57">
        <v>0</v>
      </c>
      <c r="BE268" s="57">
        <v>0</v>
      </c>
      <c r="BF268" s="50"/>
      <c r="BH268" s="32" t="s">
        <v>348</v>
      </c>
      <c r="BI268" s="33">
        <v>128096</v>
      </c>
      <c r="BJ268" s="33">
        <v>0</v>
      </c>
      <c r="BK268" s="33">
        <v>0</v>
      </c>
      <c r="BL268" s="33">
        <v>0</v>
      </c>
      <c r="BM268" s="33">
        <v>0</v>
      </c>
    </row>
    <row r="269" spans="1:65" ht="21">
      <c r="A269" s="15" t="s">
        <v>228</v>
      </c>
      <c r="B269" s="28"/>
      <c r="C269" s="29">
        <f t="shared" si="102"/>
        <v>247875</v>
      </c>
      <c r="D269" s="21">
        <f t="shared" si="103"/>
        <v>0</v>
      </c>
      <c r="E269" s="15">
        <f t="shared" si="110"/>
        <v>247875</v>
      </c>
      <c r="F269" s="15"/>
      <c r="G269" s="15">
        <f t="shared" si="104"/>
        <v>0</v>
      </c>
      <c r="H269" s="21">
        <f t="shared" si="105"/>
        <v>0</v>
      </c>
      <c r="I269" s="15">
        <f t="shared" si="106"/>
        <v>0</v>
      </c>
      <c r="J269" s="21">
        <f t="shared" si="107"/>
        <v>0</v>
      </c>
      <c r="K269" s="15">
        <f t="shared" si="108"/>
        <v>0</v>
      </c>
      <c r="L269" s="15">
        <f t="shared" si="109"/>
        <v>0</v>
      </c>
      <c r="M269" s="15"/>
      <c r="N269" s="15">
        <f t="shared" si="113"/>
        <v>247875</v>
      </c>
      <c r="O269" s="15">
        <f t="shared" si="114"/>
        <v>221687.5</v>
      </c>
      <c r="P269" s="15"/>
      <c r="Q269" s="30" t="s">
        <v>44</v>
      </c>
      <c r="R269" s="15"/>
      <c r="S269" s="76">
        <f t="shared" si="115"/>
        <v>56703</v>
      </c>
      <c r="T269" s="15">
        <f t="shared" si="116"/>
        <v>5670</v>
      </c>
      <c r="U269" s="15">
        <f t="shared" si="117"/>
        <v>62373</v>
      </c>
      <c r="V269" s="15"/>
      <c r="W269" s="15" t="s">
        <v>228</v>
      </c>
      <c r="X269" s="15">
        <f t="shared" si="111"/>
        <v>56703</v>
      </c>
      <c r="Y269" s="15">
        <v>55887</v>
      </c>
      <c r="Z269" s="15">
        <v>58082</v>
      </c>
      <c r="AA269" s="15">
        <v>57352</v>
      </c>
      <c r="AB269" s="31">
        <v>52641</v>
      </c>
      <c r="AC269" s="15">
        <f t="shared" si="112"/>
        <v>730</v>
      </c>
      <c r="AD269" s="1"/>
      <c r="AE269" s="3">
        <v>1</v>
      </c>
      <c r="AF269" s="1" t="s">
        <v>228</v>
      </c>
      <c r="AG269" s="1">
        <v>57352</v>
      </c>
      <c r="AJ269" s="81" t="s">
        <v>547</v>
      </c>
      <c r="AK269" s="81">
        <v>247875</v>
      </c>
      <c r="AL269" s="81">
        <v>0</v>
      </c>
      <c r="AM269" s="81">
        <v>0</v>
      </c>
      <c r="AN269" s="81">
        <v>0</v>
      </c>
      <c r="AO269" s="81">
        <v>0</v>
      </c>
      <c r="AR269" s="32" t="s">
        <v>349</v>
      </c>
      <c r="AS269" s="57">
        <v>261950</v>
      </c>
      <c r="AT269" s="57">
        <v>0</v>
      </c>
      <c r="AU269" s="57">
        <v>0</v>
      </c>
      <c r="AV269" s="57">
        <v>0</v>
      </c>
      <c r="AW269" s="57">
        <v>0</v>
      </c>
      <c r="AZ269" s="32" t="s">
        <v>462</v>
      </c>
      <c r="BA269" s="57">
        <v>261950</v>
      </c>
      <c r="BB269" s="57">
        <v>0</v>
      </c>
      <c r="BC269" s="57">
        <v>0</v>
      </c>
      <c r="BD269" s="57">
        <v>0</v>
      </c>
      <c r="BE269" s="57">
        <v>0</v>
      </c>
      <c r="BF269" s="50"/>
      <c r="BH269" s="32" t="s">
        <v>349</v>
      </c>
      <c r="BI269" s="33">
        <v>260608</v>
      </c>
      <c r="BJ269" s="33">
        <v>0</v>
      </c>
      <c r="BK269" s="33">
        <v>0</v>
      </c>
      <c r="BL269" s="33">
        <v>0</v>
      </c>
      <c r="BM269" s="33">
        <v>0</v>
      </c>
    </row>
    <row r="270" spans="1:65" ht="21">
      <c r="A270" s="15" t="s">
        <v>129</v>
      </c>
      <c r="B270" s="28"/>
      <c r="C270" s="29">
        <f t="shared" si="102"/>
        <v>257397</v>
      </c>
      <c r="D270" s="21">
        <f t="shared" si="103"/>
        <v>0</v>
      </c>
      <c r="E270" s="15">
        <f t="shared" si="110"/>
        <v>257397</v>
      </c>
      <c r="F270" s="15"/>
      <c r="G270" s="15">
        <f t="shared" si="104"/>
        <v>0</v>
      </c>
      <c r="H270" s="21">
        <f t="shared" si="105"/>
        <v>24480</v>
      </c>
      <c r="I270" s="15">
        <f t="shared" si="106"/>
        <v>12240</v>
      </c>
      <c r="J270" s="21">
        <f t="shared" si="107"/>
        <v>0</v>
      </c>
      <c r="K270" s="15">
        <f t="shared" si="108"/>
        <v>0</v>
      </c>
      <c r="L270" s="15">
        <f t="shared" si="109"/>
        <v>12240</v>
      </c>
      <c r="M270" s="15"/>
      <c r="N270" s="15">
        <f t="shared" si="113"/>
        <v>245157</v>
      </c>
      <c r="O270" s="15">
        <f t="shared" si="114"/>
        <v>219241.30000000002</v>
      </c>
      <c r="P270" s="15"/>
      <c r="Q270" s="30" t="s">
        <v>44</v>
      </c>
      <c r="R270" s="15"/>
      <c r="S270" s="76">
        <f t="shared" si="115"/>
        <v>56077</v>
      </c>
      <c r="T270" s="15">
        <f t="shared" si="116"/>
        <v>5608</v>
      </c>
      <c r="U270" s="15">
        <f t="shared" si="117"/>
        <v>61685</v>
      </c>
      <c r="V270" s="15"/>
      <c r="W270" s="15" t="s">
        <v>129</v>
      </c>
      <c r="X270" s="15">
        <f t="shared" si="111"/>
        <v>56077</v>
      </c>
      <c r="Y270" s="15">
        <v>57846</v>
      </c>
      <c r="Z270" s="15">
        <v>73118</v>
      </c>
      <c r="AA270" s="15">
        <v>71929</v>
      </c>
      <c r="AB270" s="31">
        <v>73443</v>
      </c>
      <c r="AC270" s="15">
        <f t="shared" si="112"/>
        <v>1189</v>
      </c>
      <c r="AD270" s="1"/>
      <c r="AE270" s="3">
        <v>1</v>
      </c>
      <c r="AF270" s="1" t="s">
        <v>129</v>
      </c>
      <c r="AG270" s="1">
        <v>71929</v>
      </c>
      <c r="AJ270" s="81" t="s">
        <v>546</v>
      </c>
      <c r="AK270" s="81">
        <v>257397</v>
      </c>
      <c r="AL270" s="81">
        <v>0</v>
      </c>
      <c r="AM270" s="81">
        <v>0</v>
      </c>
      <c r="AN270" s="81">
        <v>24480</v>
      </c>
      <c r="AO270" s="81">
        <v>0</v>
      </c>
      <c r="AR270" s="32" t="s">
        <v>346</v>
      </c>
      <c r="AS270" s="57">
        <v>277490</v>
      </c>
      <c r="AT270" s="57">
        <v>0</v>
      </c>
      <c r="AU270" s="57">
        <v>0</v>
      </c>
      <c r="AV270" s="57">
        <v>12829</v>
      </c>
      <c r="AW270" s="57">
        <v>0</v>
      </c>
      <c r="AZ270" s="32" t="s">
        <v>461</v>
      </c>
      <c r="BA270" s="57">
        <v>277490</v>
      </c>
      <c r="BB270" s="57">
        <v>0</v>
      </c>
      <c r="BC270" s="57">
        <v>0</v>
      </c>
      <c r="BD270" s="57">
        <v>12829</v>
      </c>
      <c r="BE270" s="57">
        <v>0</v>
      </c>
      <c r="BH270" s="32" t="s">
        <v>346</v>
      </c>
      <c r="BI270" s="33">
        <v>349645.4</v>
      </c>
      <c r="BJ270" s="33">
        <v>0</v>
      </c>
      <c r="BK270" s="33">
        <v>0</v>
      </c>
      <c r="BL270" s="33">
        <v>43951</v>
      </c>
      <c r="BM270" s="33">
        <v>0</v>
      </c>
    </row>
    <row r="271" spans="1:65" ht="21.75">
      <c r="A271" s="15" t="s">
        <v>130</v>
      </c>
      <c r="B271" s="34"/>
      <c r="C271" s="29">
        <f t="shared" si="102"/>
        <v>22755.91</v>
      </c>
      <c r="D271" s="21">
        <f t="shared" si="103"/>
        <v>0</v>
      </c>
      <c r="E271" s="15">
        <f t="shared" si="110"/>
        <v>22755.91</v>
      </c>
      <c r="F271" s="15"/>
      <c r="G271" s="15">
        <f t="shared" si="104"/>
        <v>0</v>
      </c>
      <c r="H271" s="21">
        <f t="shared" si="105"/>
        <v>0</v>
      </c>
      <c r="I271" s="15">
        <f t="shared" si="106"/>
        <v>0</v>
      </c>
      <c r="J271" s="21">
        <f t="shared" si="107"/>
        <v>0</v>
      </c>
      <c r="K271" s="15">
        <f t="shared" si="108"/>
        <v>0</v>
      </c>
      <c r="L271" s="15">
        <f t="shared" si="109"/>
        <v>0</v>
      </c>
      <c r="M271" s="15"/>
      <c r="N271" s="15">
        <f t="shared" si="113"/>
        <v>22755.91</v>
      </c>
      <c r="O271" s="15">
        <f t="shared" si="114"/>
        <v>19080.319</v>
      </c>
      <c r="P271" s="15"/>
      <c r="Q271" s="30" t="s">
        <v>44</v>
      </c>
      <c r="R271" s="15"/>
      <c r="S271" s="76">
        <f t="shared" si="115"/>
        <v>4880</v>
      </c>
      <c r="T271" s="15">
        <f t="shared" si="116"/>
        <v>488</v>
      </c>
      <c r="U271" s="15">
        <f t="shared" si="117"/>
        <v>5368</v>
      </c>
      <c r="V271" s="15"/>
      <c r="W271" s="15" t="s">
        <v>130</v>
      </c>
      <c r="X271" s="15">
        <f t="shared" si="111"/>
        <v>4880</v>
      </c>
      <c r="Y271" s="15">
        <v>6828</v>
      </c>
      <c r="Z271" s="15">
        <v>14031</v>
      </c>
      <c r="AA271" s="15">
        <v>12591</v>
      </c>
      <c r="AB271" s="31">
        <v>12234</v>
      </c>
      <c r="AC271" s="15">
        <f t="shared" si="112"/>
        <v>1440</v>
      </c>
      <c r="AD271" s="1"/>
      <c r="AE271" s="3">
        <v>1</v>
      </c>
      <c r="AF271" s="1" t="s">
        <v>130</v>
      </c>
      <c r="AG271" s="1">
        <v>12591</v>
      </c>
      <c r="AI271" s="39"/>
      <c r="AJ271" s="81" t="s">
        <v>387</v>
      </c>
      <c r="AK271" s="85">
        <v>22755.91</v>
      </c>
      <c r="AL271" s="81">
        <v>0</v>
      </c>
      <c r="AM271" s="81">
        <v>0</v>
      </c>
      <c r="AN271" s="81">
        <v>0</v>
      </c>
      <c r="AO271" s="81">
        <v>0</v>
      </c>
      <c r="AR271" s="32" t="s">
        <v>387</v>
      </c>
      <c r="AS271" s="57">
        <v>33371</v>
      </c>
      <c r="AT271" s="57">
        <v>0</v>
      </c>
      <c r="AU271" s="57">
        <v>0</v>
      </c>
      <c r="AV271" s="57">
        <v>0</v>
      </c>
      <c r="AW271" s="57">
        <v>0</v>
      </c>
      <c r="AZ271" s="32" t="s">
        <v>387</v>
      </c>
      <c r="BA271" s="57">
        <v>33371</v>
      </c>
      <c r="BB271" s="57">
        <v>0</v>
      </c>
      <c r="BC271" s="57">
        <v>0</v>
      </c>
      <c r="BD271" s="57">
        <v>0</v>
      </c>
      <c r="BE271" s="57">
        <v>0</v>
      </c>
      <c r="BF271" s="50"/>
      <c r="BH271" s="32" t="s">
        <v>387</v>
      </c>
      <c r="BI271" s="43">
        <f>61317*1.1</f>
        <v>67448.70000000001</v>
      </c>
      <c r="BJ271" s="43">
        <v>0</v>
      </c>
      <c r="BK271" s="43">
        <v>0</v>
      </c>
      <c r="BL271" s="43">
        <v>6626</v>
      </c>
      <c r="BM271" s="43">
        <v>0</v>
      </c>
    </row>
    <row r="272" spans="1:65" ht="21.75">
      <c r="A272" s="15" t="s">
        <v>120</v>
      </c>
      <c r="B272" s="62" t="s">
        <v>105</v>
      </c>
      <c r="C272" s="29">
        <f t="shared" si="102"/>
        <v>51953.59</v>
      </c>
      <c r="D272" s="21">
        <f t="shared" si="103"/>
        <v>0</v>
      </c>
      <c r="E272" s="15">
        <f t="shared" si="110"/>
        <v>51953.59</v>
      </c>
      <c r="F272" s="15"/>
      <c r="G272" s="15">
        <f t="shared" si="104"/>
        <v>0</v>
      </c>
      <c r="H272" s="21">
        <f t="shared" si="105"/>
        <v>10000</v>
      </c>
      <c r="I272" s="15">
        <f t="shared" si="106"/>
        <v>5000</v>
      </c>
      <c r="J272" s="21">
        <f t="shared" si="107"/>
        <v>0</v>
      </c>
      <c r="K272" s="15">
        <f t="shared" si="108"/>
        <v>0</v>
      </c>
      <c r="L272" s="15">
        <f t="shared" si="109"/>
        <v>5000</v>
      </c>
      <c r="M272" s="15"/>
      <c r="N272" s="15">
        <f t="shared" si="113"/>
        <v>46953.59</v>
      </c>
      <c r="O272" s="15">
        <f t="shared" si="114"/>
        <v>40858.231</v>
      </c>
      <c r="P272" s="15"/>
      <c r="Q272" s="30" t="s">
        <v>44</v>
      </c>
      <c r="R272" s="15"/>
      <c r="S272" s="76">
        <f t="shared" si="115"/>
        <v>10451</v>
      </c>
      <c r="T272" s="15">
        <f t="shared" si="116"/>
        <v>1045</v>
      </c>
      <c r="U272" s="15">
        <f t="shared" si="117"/>
        <v>11496</v>
      </c>
      <c r="V272" s="15"/>
      <c r="W272" s="15" t="s">
        <v>120</v>
      </c>
      <c r="X272" s="15">
        <f t="shared" si="111"/>
        <v>10451</v>
      </c>
      <c r="Y272" s="15">
        <v>9744</v>
      </c>
      <c r="Z272" s="15">
        <v>7904</v>
      </c>
      <c r="AA272" s="15">
        <v>6778</v>
      </c>
      <c r="AB272" s="31">
        <v>7955</v>
      </c>
      <c r="AC272" s="15">
        <f t="shared" si="112"/>
        <v>1126</v>
      </c>
      <c r="AD272" s="1"/>
      <c r="AE272" s="3">
        <v>1</v>
      </c>
      <c r="AF272" s="1" t="s">
        <v>120</v>
      </c>
      <c r="AG272" s="1">
        <v>6778</v>
      </c>
      <c r="AJ272" s="89"/>
      <c r="AK272" s="91">
        <f>AS272</f>
        <v>51953.59</v>
      </c>
      <c r="AL272" s="91">
        <f>AT272</f>
        <v>0</v>
      </c>
      <c r="AM272" s="91">
        <f>AU272</f>
        <v>0</v>
      </c>
      <c r="AN272" s="91">
        <f>AV272</f>
        <v>10000</v>
      </c>
      <c r="AO272" s="91">
        <f>AW272</f>
        <v>0</v>
      </c>
      <c r="AR272" s="32" t="s">
        <v>352</v>
      </c>
      <c r="AS272" s="57">
        <v>51953.59</v>
      </c>
      <c r="AT272" s="57">
        <v>0</v>
      </c>
      <c r="AU272" s="57">
        <v>0</v>
      </c>
      <c r="AV272" s="57">
        <v>10000</v>
      </c>
      <c r="AW272" s="57">
        <v>0</v>
      </c>
      <c r="AZ272" s="32" t="s">
        <v>463</v>
      </c>
      <c r="BA272" s="57">
        <v>51953.59</v>
      </c>
      <c r="BB272" s="57">
        <v>0</v>
      </c>
      <c r="BC272" s="57">
        <v>0</v>
      </c>
      <c r="BD272" s="57">
        <v>10000</v>
      </c>
      <c r="BE272" s="57">
        <v>0</v>
      </c>
      <c r="BF272" s="50"/>
      <c r="BH272" s="32" t="s">
        <v>352</v>
      </c>
      <c r="BI272" s="33">
        <v>38554</v>
      </c>
      <c r="BJ272" s="33">
        <v>0</v>
      </c>
      <c r="BK272" s="33">
        <v>1745</v>
      </c>
      <c r="BL272" s="33">
        <v>0</v>
      </c>
      <c r="BM272" s="33">
        <v>0</v>
      </c>
    </row>
    <row r="273" spans="1:65" ht="21">
      <c r="A273" s="15" t="s">
        <v>136</v>
      </c>
      <c r="B273" s="28"/>
      <c r="C273" s="29">
        <f t="shared" si="102"/>
        <v>25159</v>
      </c>
      <c r="D273" s="21">
        <f t="shared" si="103"/>
        <v>0</v>
      </c>
      <c r="E273" s="15">
        <f t="shared" si="110"/>
        <v>25159</v>
      </c>
      <c r="F273" s="15"/>
      <c r="G273" s="15">
        <f t="shared" si="104"/>
        <v>0</v>
      </c>
      <c r="H273" s="21">
        <f t="shared" si="105"/>
        <v>3500</v>
      </c>
      <c r="I273" s="15">
        <f t="shared" si="106"/>
        <v>1750</v>
      </c>
      <c r="J273" s="21">
        <f t="shared" si="107"/>
        <v>0</v>
      </c>
      <c r="K273" s="15">
        <f t="shared" si="108"/>
        <v>0</v>
      </c>
      <c r="L273" s="15">
        <f t="shared" si="109"/>
        <v>1750</v>
      </c>
      <c r="M273" s="15"/>
      <c r="N273" s="15">
        <f>E273-L273</f>
        <v>23409</v>
      </c>
      <c r="O273" s="15">
        <f t="shared" si="114"/>
        <v>19668.100000000002</v>
      </c>
      <c r="P273" s="15"/>
      <c r="Q273" s="30" t="s">
        <v>44</v>
      </c>
      <c r="R273" s="15"/>
      <c r="S273" s="76">
        <f t="shared" si="115"/>
        <v>5031</v>
      </c>
      <c r="T273" s="15">
        <f t="shared" si="116"/>
        <v>503</v>
      </c>
      <c r="U273" s="15">
        <f t="shared" si="117"/>
        <v>5534</v>
      </c>
      <c r="V273" s="15"/>
      <c r="W273" s="15" t="s">
        <v>136</v>
      </c>
      <c r="X273" s="15">
        <f t="shared" si="111"/>
        <v>5031</v>
      </c>
      <c r="Y273" s="15">
        <v>4741</v>
      </c>
      <c r="Z273" s="15">
        <v>6499</v>
      </c>
      <c r="AA273" s="15">
        <v>5475</v>
      </c>
      <c r="AB273" s="31">
        <v>4897</v>
      </c>
      <c r="AC273" s="15">
        <f t="shared" si="112"/>
        <v>1024</v>
      </c>
      <c r="AD273" s="1"/>
      <c r="AE273" s="3">
        <v>1</v>
      </c>
      <c r="AF273" s="1" t="s">
        <v>136</v>
      </c>
      <c r="AG273" s="1">
        <v>5475</v>
      </c>
      <c r="AJ273" s="81" t="s">
        <v>544</v>
      </c>
      <c r="AK273" s="81">
        <v>25159</v>
      </c>
      <c r="AL273" s="81">
        <v>0</v>
      </c>
      <c r="AM273" s="81">
        <v>0</v>
      </c>
      <c r="AN273" s="81">
        <v>3500</v>
      </c>
      <c r="AO273" s="81">
        <v>0</v>
      </c>
      <c r="AR273" s="32" t="s">
        <v>351</v>
      </c>
      <c r="AS273" s="57">
        <v>24254</v>
      </c>
      <c r="AT273" s="57">
        <v>0</v>
      </c>
      <c r="AU273" s="57">
        <v>0</v>
      </c>
      <c r="AV273" s="57">
        <v>1220.11</v>
      </c>
      <c r="AW273" s="57">
        <v>0</v>
      </c>
      <c r="AZ273" s="32" t="s">
        <v>351</v>
      </c>
      <c r="BA273" s="57">
        <v>24254</v>
      </c>
      <c r="BB273" s="57">
        <v>0</v>
      </c>
      <c r="BC273" s="57">
        <v>0</v>
      </c>
      <c r="BD273" s="57">
        <v>1220.11</v>
      </c>
      <c r="BE273" s="57">
        <v>0</v>
      </c>
      <c r="BF273" s="50"/>
      <c r="BH273" s="32" t="s">
        <v>351</v>
      </c>
      <c r="BI273" s="33">
        <v>32339</v>
      </c>
      <c r="BJ273" s="33">
        <v>0</v>
      </c>
      <c r="BK273" s="33">
        <v>0</v>
      </c>
      <c r="BL273" s="33">
        <v>3597</v>
      </c>
      <c r="BM273" s="33">
        <v>0</v>
      </c>
    </row>
    <row r="274" spans="1:65" ht="21">
      <c r="A274" s="15" t="s">
        <v>137</v>
      </c>
      <c r="B274" s="28"/>
      <c r="C274" s="29">
        <f t="shared" si="102"/>
        <v>121289</v>
      </c>
      <c r="D274" s="21">
        <f t="shared" si="103"/>
        <v>0</v>
      </c>
      <c r="E274" s="15">
        <f t="shared" si="110"/>
        <v>121289</v>
      </c>
      <c r="F274" s="15"/>
      <c r="G274" s="15">
        <f t="shared" si="104"/>
        <v>0</v>
      </c>
      <c r="H274" s="21">
        <f t="shared" si="105"/>
        <v>17500</v>
      </c>
      <c r="I274" s="15">
        <f t="shared" si="106"/>
        <v>8750</v>
      </c>
      <c r="J274" s="21">
        <f t="shared" si="107"/>
        <v>0</v>
      </c>
      <c r="K274" s="15">
        <f>J274*0.25</f>
        <v>0</v>
      </c>
      <c r="L274" s="15">
        <f>+G274+I274+K274</f>
        <v>8750</v>
      </c>
      <c r="M274" s="15"/>
      <c r="N274" s="15">
        <f>E274-L274</f>
        <v>112539</v>
      </c>
      <c r="O274" s="15">
        <f>IF(N274&gt;=4000,(N274-4000)*0.9+2200,IF(N274&gt;=3000,(N274-3000)*0.8+1400,IF(N274&gt;=2000,(N274-2000)*0.6+800,IF(N274&gt;0,N274*0.4,0))))</f>
        <v>99885.1</v>
      </c>
      <c r="P274" s="15"/>
      <c r="Q274" s="30" t="s">
        <v>44</v>
      </c>
      <c r="R274" s="15"/>
      <c r="S274" s="76">
        <f>ROUND(SUM(O274*$Q$10),0)</f>
        <v>25548</v>
      </c>
      <c r="T274" s="15">
        <f>ROUND(SUM(S274*0.1),0)</f>
        <v>2555</v>
      </c>
      <c r="U274" s="15">
        <f>SUM(S274:T274)</f>
        <v>28103</v>
      </c>
      <c r="V274" s="15"/>
      <c r="W274" s="15" t="s">
        <v>137</v>
      </c>
      <c r="X274" s="15">
        <f t="shared" si="111"/>
        <v>25548</v>
      </c>
      <c r="Y274" s="15">
        <v>24525</v>
      </c>
      <c r="Z274" s="15">
        <v>26573</v>
      </c>
      <c r="AA274" s="15">
        <v>23941</v>
      </c>
      <c r="AB274" s="31">
        <v>22798</v>
      </c>
      <c r="AC274" s="15">
        <f t="shared" si="112"/>
        <v>2632</v>
      </c>
      <c r="AD274" s="1"/>
      <c r="AE274" s="3">
        <v>1</v>
      </c>
      <c r="AF274" s="1" t="s">
        <v>137</v>
      </c>
      <c r="AG274" s="1">
        <v>23941</v>
      </c>
      <c r="AJ274" s="81" t="s">
        <v>545</v>
      </c>
      <c r="AK274" s="82">
        <v>121289</v>
      </c>
      <c r="AL274" s="81">
        <v>0</v>
      </c>
      <c r="AM274" s="81">
        <v>0</v>
      </c>
      <c r="AN274" s="82">
        <v>17500</v>
      </c>
      <c r="AO274" s="81">
        <v>0</v>
      </c>
      <c r="AR274" s="32" t="s">
        <v>347</v>
      </c>
      <c r="AS274" s="57">
        <v>118524</v>
      </c>
      <c r="AT274" s="57">
        <v>0</v>
      </c>
      <c r="AU274" s="57">
        <v>0</v>
      </c>
      <c r="AV274" s="57">
        <v>5404</v>
      </c>
      <c r="AW274" s="57">
        <v>0</v>
      </c>
      <c r="AZ274" s="32" t="s">
        <v>458</v>
      </c>
      <c r="BA274" s="57">
        <v>118524</v>
      </c>
      <c r="BB274" s="57">
        <v>0</v>
      </c>
      <c r="BC274" s="57">
        <v>0</v>
      </c>
      <c r="BD274" s="57">
        <v>5404</v>
      </c>
      <c r="BE274" s="57">
        <v>0</v>
      </c>
      <c r="BF274" s="50"/>
      <c r="BH274" s="32" t="s">
        <v>347</v>
      </c>
      <c r="BI274" s="33">
        <v>128844</v>
      </c>
      <c r="BJ274" s="33">
        <v>0</v>
      </c>
      <c r="BK274" s="33">
        <v>0</v>
      </c>
      <c r="BL274" s="33">
        <v>17536</v>
      </c>
      <c r="BM274" s="33">
        <v>0</v>
      </c>
    </row>
    <row r="275" spans="1:58" ht="21">
      <c r="A275" s="19" t="s">
        <v>3</v>
      </c>
      <c r="B275" s="15"/>
      <c r="C275" s="19" t="s">
        <v>3</v>
      </c>
      <c r="D275" s="19" t="s">
        <v>3</v>
      </c>
      <c r="E275" s="19" t="s">
        <v>3</v>
      </c>
      <c r="F275" s="15"/>
      <c r="G275" s="19" t="s">
        <v>3</v>
      </c>
      <c r="H275" s="19" t="s">
        <v>3</v>
      </c>
      <c r="I275" s="19" t="s">
        <v>3</v>
      </c>
      <c r="J275" s="19" t="s">
        <v>3</v>
      </c>
      <c r="K275" s="19" t="s">
        <v>3</v>
      </c>
      <c r="L275" s="19" t="s">
        <v>3</v>
      </c>
      <c r="M275" s="15"/>
      <c r="N275" s="19" t="s">
        <v>3</v>
      </c>
      <c r="O275" s="19" t="s">
        <v>3</v>
      </c>
      <c r="P275" s="15"/>
      <c r="Q275" s="15"/>
      <c r="R275" s="15"/>
      <c r="S275" s="78" t="s">
        <v>3</v>
      </c>
      <c r="T275" s="19" t="s">
        <v>3</v>
      </c>
      <c r="U275" s="19" t="s">
        <v>3</v>
      </c>
      <c r="V275" s="15"/>
      <c r="W275" s="15"/>
      <c r="X275" s="15"/>
      <c r="Y275" s="15"/>
      <c r="Z275" s="14"/>
      <c r="AA275" s="14"/>
      <c r="AB275" s="38"/>
      <c r="AC275" s="15">
        <f t="shared" si="112"/>
        <v>0</v>
      </c>
      <c r="AD275" s="1"/>
      <c r="AE275" s="1"/>
      <c r="AF275" s="1"/>
      <c r="AG275" s="1"/>
      <c r="AS275" s="57"/>
      <c r="AT275" s="57"/>
      <c r="AU275" s="57"/>
      <c r="AV275" s="57"/>
      <c r="AW275" s="57"/>
      <c r="AZ275" s="32"/>
      <c r="BA275" s="57"/>
      <c r="BB275" s="57"/>
      <c r="BC275" s="57"/>
      <c r="BD275" s="57"/>
      <c r="BE275" s="57"/>
      <c r="BF275" s="50"/>
    </row>
    <row r="276" spans="1:58" ht="21">
      <c r="A276" s="15" t="s">
        <v>48</v>
      </c>
      <c r="B276" s="15"/>
      <c r="C276" s="15">
        <f>SUM(C262:C275)</f>
        <v>1219407.5</v>
      </c>
      <c r="D276" s="15">
        <f>SUM(D262:D275)</f>
        <v>2568</v>
      </c>
      <c r="E276" s="15">
        <f>SUM(E262:E275)</f>
        <v>1221975.5</v>
      </c>
      <c r="F276" s="15"/>
      <c r="G276" s="15">
        <f aca="true" t="shared" si="118" ref="G276:L276">SUM(G262:G275)</f>
        <v>0</v>
      </c>
      <c r="H276" s="15">
        <f t="shared" si="118"/>
        <v>85556</v>
      </c>
      <c r="I276" s="15">
        <f t="shared" si="118"/>
        <v>42778</v>
      </c>
      <c r="J276" s="15">
        <f t="shared" si="118"/>
        <v>0</v>
      </c>
      <c r="K276" s="15">
        <f t="shared" si="118"/>
        <v>0</v>
      </c>
      <c r="L276" s="15">
        <f t="shared" si="118"/>
        <v>42778</v>
      </c>
      <c r="M276" s="15"/>
      <c r="N276" s="15">
        <f>SUM(N262:N275)</f>
        <v>1179197.5</v>
      </c>
      <c r="O276" s="15">
        <f>SUM(O262:O275)</f>
        <v>1044477.7500000001</v>
      </c>
      <c r="P276" s="15"/>
      <c r="Q276" s="18" t="s">
        <v>49</v>
      </c>
      <c r="R276" s="15"/>
      <c r="S276" s="76">
        <f>SUM(S262:S275)</f>
        <v>267154</v>
      </c>
      <c r="T276" s="15">
        <f>SUM(T262:T275)</f>
        <v>26715</v>
      </c>
      <c r="U276" s="15">
        <f>SUM(U262:U275)</f>
        <v>293869</v>
      </c>
      <c r="V276" s="15"/>
      <c r="W276" s="15"/>
      <c r="X276" s="15">
        <f>SUM(X263:X275)</f>
        <v>267154</v>
      </c>
      <c r="Y276" s="15">
        <f>SUM(Y263:Y275)</f>
        <v>277519</v>
      </c>
      <c r="Z276" s="15">
        <f>SUM(Z263:Z275)</f>
        <v>299084</v>
      </c>
      <c r="AA276" s="15">
        <f>SUM(AA263:AA275)</f>
        <v>295010</v>
      </c>
      <c r="AB276" s="15">
        <f>SUM(AB263:AB275)</f>
        <v>291057</v>
      </c>
      <c r="AC276" s="15">
        <f t="shared" si="112"/>
        <v>4074</v>
      </c>
      <c r="AD276" s="1"/>
      <c r="AE276" s="1"/>
      <c r="AF276" s="1"/>
      <c r="AG276" s="1"/>
      <c r="AS276" s="57"/>
      <c r="AT276" s="57"/>
      <c r="AU276" s="57"/>
      <c r="AV276" s="57"/>
      <c r="AW276" s="57"/>
      <c r="AZ276" s="32"/>
      <c r="BA276" s="57"/>
      <c r="BB276" s="57"/>
      <c r="BC276" s="57"/>
      <c r="BD276" s="57"/>
      <c r="BE276" s="57"/>
      <c r="BF276" s="50"/>
    </row>
    <row r="277" spans="1:58" ht="21">
      <c r="A277" s="19" t="s">
        <v>3</v>
      </c>
      <c r="B277" s="15"/>
      <c r="C277" s="19"/>
      <c r="D277" s="19" t="s">
        <v>3</v>
      </c>
      <c r="E277" s="19" t="s">
        <v>3</v>
      </c>
      <c r="F277" s="15"/>
      <c r="G277" s="19" t="s">
        <v>3</v>
      </c>
      <c r="H277" s="19" t="s">
        <v>3</v>
      </c>
      <c r="I277" s="19" t="s">
        <v>3</v>
      </c>
      <c r="J277" s="19" t="s">
        <v>3</v>
      </c>
      <c r="K277" s="19" t="s">
        <v>3</v>
      </c>
      <c r="L277" s="19" t="s">
        <v>3</v>
      </c>
      <c r="M277" s="15"/>
      <c r="N277" s="19" t="s">
        <v>3</v>
      </c>
      <c r="O277" s="19" t="s">
        <v>3</v>
      </c>
      <c r="P277" s="15"/>
      <c r="Q277" s="15"/>
      <c r="R277" s="15"/>
      <c r="S277" s="78" t="s">
        <v>3</v>
      </c>
      <c r="T277" s="19" t="s">
        <v>3</v>
      </c>
      <c r="U277" s="19" t="s">
        <v>3</v>
      </c>
      <c r="V277" s="15"/>
      <c r="W277" s="35"/>
      <c r="X277" s="35"/>
      <c r="Y277" s="35"/>
      <c r="AB277" s="38"/>
      <c r="AC277" s="15">
        <f t="shared" si="112"/>
        <v>0</v>
      </c>
      <c r="AD277" s="1"/>
      <c r="AE277" s="1"/>
      <c r="AF277" s="1"/>
      <c r="AG277" s="1"/>
      <c r="AJ277" s="81"/>
      <c r="AK277" s="81"/>
      <c r="AL277" s="81"/>
      <c r="AM277" s="81"/>
      <c r="AN277" s="81"/>
      <c r="AO277" s="81"/>
      <c r="AS277" s="57"/>
      <c r="AT277" s="57"/>
      <c r="AU277" s="57"/>
      <c r="AV277" s="57"/>
      <c r="AW277" s="57"/>
      <c r="AZ277" s="32"/>
      <c r="BA277" s="57"/>
      <c r="BB277" s="57"/>
      <c r="BC277" s="57"/>
      <c r="BD277" s="57"/>
      <c r="BE277" s="57"/>
      <c r="BF277" s="50"/>
    </row>
    <row r="278" spans="1:41" ht="21">
      <c r="A278" s="15" t="s">
        <v>206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79"/>
      <c r="T278" s="35"/>
      <c r="U278" s="35"/>
      <c r="V278" s="35"/>
      <c r="W278" s="15"/>
      <c r="X278" s="15"/>
      <c r="Y278" s="15"/>
      <c r="Z278" s="1"/>
      <c r="AA278" s="1"/>
      <c r="AB278" s="38"/>
      <c r="AC278" s="15">
        <f t="shared" si="112"/>
        <v>0</v>
      </c>
      <c r="AJ278" s="81"/>
      <c r="AK278" s="81"/>
      <c r="AL278" s="81"/>
      <c r="AM278" s="81"/>
      <c r="AN278" s="81"/>
      <c r="AO278" s="81"/>
    </row>
    <row r="279" spans="1:33" ht="21">
      <c r="A279" s="15" t="s">
        <v>61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76"/>
      <c r="T279" s="15"/>
      <c r="U279" s="15"/>
      <c r="V279" s="15"/>
      <c r="W279" s="15"/>
      <c r="X279" s="15"/>
      <c r="Y279" s="15"/>
      <c r="Z279" s="1"/>
      <c r="AA279" s="1"/>
      <c r="AB279" s="38"/>
      <c r="AC279" s="15">
        <f t="shared" si="112"/>
        <v>0</v>
      </c>
      <c r="AD279" s="1"/>
      <c r="AE279" s="1"/>
      <c r="AF279" s="1"/>
      <c r="AG279" s="1"/>
    </row>
    <row r="280" spans="1:33" ht="21">
      <c r="A280" s="15" t="s">
        <v>187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76"/>
      <c r="T280" s="15"/>
      <c r="U280" s="15"/>
      <c r="V280" s="15"/>
      <c r="W280" s="15"/>
      <c r="X280" s="15"/>
      <c r="Y280" s="15"/>
      <c r="Z280" s="1"/>
      <c r="AA280" s="1"/>
      <c r="AB280" s="38"/>
      <c r="AC280" s="15">
        <f t="shared" si="112"/>
        <v>0</v>
      </c>
      <c r="AD280" s="1"/>
      <c r="AE280" s="1"/>
      <c r="AF280" s="1"/>
      <c r="AG280" s="1"/>
    </row>
    <row r="281" spans="1:33" ht="21">
      <c r="A281" s="15" t="s">
        <v>63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76"/>
      <c r="T281" s="15"/>
      <c r="U281" s="15"/>
      <c r="V281" s="15"/>
      <c r="W281" s="15"/>
      <c r="X281" s="15"/>
      <c r="Y281" s="15"/>
      <c r="Z281" s="1"/>
      <c r="AA281" s="1"/>
      <c r="AB281" s="38"/>
      <c r="AC281" s="15">
        <f t="shared" si="112"/>
        <v>0</v>
      </c>
      <c r="AD281" s="1"/>
      <c r="AE281" s="1"/>
      <c r="AF281" s="1"/>
      <c r="AG281" s="1"/>
    </row>
    <row r="282" spans="1:33" ht="21">
      <c r="A282" s="15" t="s">
        <v>62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76"/>
      <c r="T282" s="15"/>
      <c r="U282" s="15"/>
      <c r="V282" s="15"/>
      <c r="W282" s="15"/>
      <c r="X282" s="15"/>
      <c r="Y282" s="15"/>
      <c r="Z282" s="1"/>
      <c r="AA282" s="1"/>
      <c r="AB282" s="38"/>
      <c r="AC282" s="1"/>
      <c r="AD282" s="1"/>
      <c r="AE282" s="1"/>
      <c r="AF282" s="1"/>
      <c r="AG282" s="1"/>
    </row>
    <row r="283" spans="1:33" ht="21">
      <c r="A283" s="35" t="s">
        <v>188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76"/>
      <c r="T283" s="15"/>
      <c r="U283" s="15"/>
      <c r="V283" s="15"/>
      <c r="W283" s="35"/>
      <c r="X283" s="35"/>
      <c r="Y283" s="35"/>
      <c r="AB283" s="38"/>
      <c r="AC283" s="1"/>
      <c r="AD283" s="1"/>
      <c r="AE283" s="1"/>
      <c r="AF283" s="1"/>
      <c r="AG283" s="1"/>
    </row>
    <row r="284" spans="1:28" ht="2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79"/>
      <c r="T284" s="35"/>
      <c r="U284" s="35"/>
      <c r="V284" s="35"/>
      <c r="W284" s="15"/>
      <c r="X284" s="15"/>
      <c r="Y284" s="15"/>
      <c r="Z284" s="1"/>
      <c r="AA284" s="1"/>
      <c r="AB284" s="38"/>
    </row>
    <row r="285" spans="1:33" ht="21">
      <c r="A285" s="15" t="s">
        <v>64</v>
      </c>
      <c r="B285" s="15"/>
      <c r="C285" s="15"/>
      <c r="D285" s="15" t="s">
        <v>65</v>
      </c>
      <c r="E285" s="15"/>
      <c r="F285" s="15"/>
      <c r="G285" s="15"/>
      <c r="H285" s="15"/>
      <c r="I285" s="15"/>
      <c r="J285" s="15"/>
      <c r="K285" s="15"/>
      <c r="L285" s="15" t="s">
        <v>66</v>
      </c>
      <c r="M285" s="15"/>
      <c r="N285" s="15"/>
      <c r="O285" s="15"/>
      <c r="P285" s="15"/>
      <c r="Q285" s="15"/>
      <c r="R285" s="15"/>
      <c r="S285" s="76"/>
      <c r="T285" s="15"/>
      <c r="U285" s="15"/>
      <c r="V285" s="15"/>
      <c r="W285" s="15"/>
      <c r="X285" s="15"/>
      <c r="Y285" s="15"/>
      <c r="Z285" s="1"/>
      <c r="AA285" s="1"/>
      <c r="AB285" s="38"/>
      <c r="AC285" s="1"/>
      <c r="AD285" s="1"/>
      <c r="AE285" s="1"/>
      <c r="AF285" s="1"/>
      <c r="AG285" s="1"/>
    </row>
    <row r="286" spans="1:33" ht="21">
      <c r="A286" s="19" t="s">
        <v>3</v>
      </c>
      <c r="B286" s="15"/>
      <c r="C286" s="15"/>
      <c r="D286" s="19" t="s">
        <v>3</v>
      </c>
      <c r="E286" s="19" t="s">
        <v>3</v>
      </c>
      <c r="F286" s="15"/>
      <c r="G286" s="15"/>
      <c r="H286" s="15"/>
      <c r="I286" s="15"/>
      <c r="J286" s="15"/>
      <c r="K286" s="15"/>
      <c r="L286" s="15" t="s">
        <v>67</v>
      </c>
      <c r="M286" s="15"/>
      <c r="N286" s="15"/>
      <c r="O286" s="15"/>
      <c r="P286" s="15"/>
      <c r="Q286" s="15"/>
      <c r="R286" s="15"/>
      <c r="S286" s="76"/>
      <c r="T286" s="15"/>
      <c r="U286" s="15"/>
      <c r="V286" s="15"/>
      <c r="W286" s="15"/>
      <c r="X286" s="15"/>
      <c r="Y286" s="15"/>
      <c r="Z286" s="1"/>
      <c r="AA286" s="1"/>
      <c r="AB286" s="38"/>
      <c r="AC286" s="1"/>
      <c r="AD286" s="1"/>
      <c r="AE286" s="1"/>
      <c r="AF286" s="1"/>
      <c r="AG286" s="1"/>
    </row>
    <row r="287" spans="1:33" ht="21">
      <c r="A287" s="15" t="s">
        <v>68</v>
      </c>
      <c r="B287" s="15"/>
      <c r="C287" s="15"/>
      <c r="D287" s="15" t="s">
        <v>69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76"/>
      <c r="T287" s="15"/>
      <c r="U287" s="15"/>
      <c r="V287" s="15"/>
      <c r="W287" s="15"/>
      <c r="X287" s="15"/>
      <c r="Y287" s="15"/>
      <c r="Z287" s="1"/>
      <c r="AA287" s="1"/>
      <c r="AB287" s="38"/>
      <c r="AC287" s="1"/>
      <c r="AD287" s="1"/>
      <c r="AE287" s="1"/>
      <c r="AF287" s="1"/>
      <c r="AG287" s="1"/>
    </row>
    <row r="288" spans="1:33" ht="21">
      <c r="A288" s="15" t="s">
        <v>70</v>
      </c>
      <c r="B288" s="15"/>
      <c r="C288" s="15"/>
      <c r="D288" s="15" t="s">
        <v>71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76"/>
      <c r="T288" s="15"/>
      <c r="U288" s="15"/>
      <c r="V288" s="15"/>
      <c r="W288" s="15"/>
      <c r="X288" s="15"/>
      <c r="Y288" s="15"/>
      <c r="Z288" s="1"/>
      <c r="AA288" s="1"/>
      <c r="AB288" s="38"/>
      <c r="AC288" s="1"/>
      <c r="AD288" s="1"/>
      <c r="AE288" s="1"/>
      <c r="AF288" s="1"/>
      <c r="AG288" s="1"/>
    </row>
    <row r="289" spans="1:33" ht="21">
      <c r="A289" s="15" t="s">
        <v>72</v>
      </c>
      <c r="B289" s="15"/>
      <c r="C289" s="15"/>
      <c r="D289" s="15" t="s">
        <v>73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76"/>
      <c r="T289" s="15"/>
      <c r="U289" s="15"/>
      <c r="V289" s="15"/>
      <c r="W289" s="15"/>
      <c r="X289" s="15"/>
      <c r="Y289" s="15"/>
      <c r="Z289" s="1"/>
      <c r="AA289" s="1"/>
      <c r="AB289" s="38"/>
      <c r="AC289" s="1"/>
      <c r="AD289" s="1"/>
      <c r="AE289" s="1"/>
      <c r="AF289" s="1"/>
      <c r="AG289" s="1"/>
    </row>
    <row r="290" spans="1:33" ht="21">
      <c r="A290" s="15" t="s">
        <v>74</v>
      </c>
      <c r="B290" s="15"/>
      <c r="C290" s="15"/>
      <c r="D290" s="15" t="s">
        <v>75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76"/>
      <c r="T290" s="15"/>
      <c r="U290" s="15"/>
      <c r="V290" s="15"/>
      <c r="W290" s="35"/>
      <c r="X290" s="35"/>
      <c r="Y290" s="35"/>
      <c r="AB290" s="38"/>
      <c r="AC290" s="1"/>
      <c r="AD290" s="1"/>
      <c r="AE290" s="1"/>
      <c r="AF290" s="1"/>
      <c r="AG290" s="1"/>
    </row>
    <row r="291" spans="1:28" ht="2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79"/>
      <c r="T291" s="35"/>
      <c r="U291" s="35"/>
      <c r="V291" s="35"/>
      <c r="W291" s="35"/>
      <c r="X291" s="35"/>
      <c r="Y291" s="35"/>
      <c r="AB291" s="38"/>
    </row>
    <row r="292" spans="1:28" ht="2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79"/>
      <c r="T292" s="35"/>
      <c r="U292" s="35"/>
      <c r="V292" s="35"/>
      <c r="W292" s="35"/>
      <c r="X292" s="35"/>
      <c r="Y292" s="35"/>
      <c r="AB292" s="38"/>
    </row>
    <row r="293" spans="1:28" ht="2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79"/>
      <c r="T293" s="35"/>
      <c r="U293" s="35"/>
      <c r="V293" s="35"/>
      <c r="W293" s="35"/>
      <c r="X293" s="35"/>
      <c r="Y293" s="35"/>
      <c r="AB293" s="38"/>
    </row>
    <row r="294" spans="1:28" ht="21">
      <c r="A294" s="15" t="s">
        <v>0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76"/>
      <c r="T294" s="15"/>
      <c r="U294" s="15"/>
      <c r="V294" s="15"/>
      <c r="W294" s="35"/>
      <c r="X294" s="35"/>
      <c r="Y294" s="35"/>
      <c r="AB294" s="38"/>
    </row>
    <row r="295" spans="1:28" ht="21">
      <c r="A295" s="15" t="str">
        <f>$A$3</f>
        <v>MISSION &amp; SERVICE BUDGET APPORTIONMENT 2022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76"/>
      <c r="T295" s="15"/>
      <c r="U295" s="15"/>
      <c r="V295" s="15"/>
      <c r="W295" s="35"/>
      <c r="X295" s="35"/>
      <c r="Y295" s="35"/>
      <c r="AB295" s="38"/>
    </row>
    <row r="296" spans="1:28" ht="2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76"/>
      <c r="T296" s="15"/>
      <c r="U296" s="15"/>
      <c r="V296" s="15"/>
      <c r="W296" s="35"/>
      <c r="X296" s="35"/>
      <c r="Y296" s="35"/>
      <c r="AB296" s="38"/>
    </row>
    <row r="297" spans="1:28" ht="2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76"/>
      <c r="T297" s="15"/>
      <c r="U297" s="15"/>
      <c r="V297" s="15"/>
      <c r="W297" s="35"/>
      <c r="X297" s="35"/>
      <c r="Y297" s="35"/>
      <c r="AB297" s="38"/>
    </row>
    <row r="298" spans="1:28" ht="21">
      <c r="A298" s="15" t="s">
        <v>235</v>
      </c>
      <c r="B298" s="15" t="s">
        <v>2</v>
      </c>
      <c r="C298" s="15" t="str">
        <f>+C32</f>
        <v>2020 expenses</v>
      </c>
      <c r="D298" s="15"/>
      <c r="E298" s="15"/>
      <c r="F298" s="15" t="s">
        <v>2</v>
      </c>
      <c r="G298" s="19" t="s">
        <v>3</v>
      </c>
      <c r="H298" s="19" t="s">
        <v>3</v>
      </c>
      <c r="I298" s="19" t="s">
        <v>3</v>
      </c>
      <c r="J298" s="18" t="s">
        <v>4</v>
      </c>
      <c r="K298" s="19" t="s">
        <v>3</v>
      </c>
      <c r="L298" s="19" t="s">
        <v>3</v>
      </c>
      <c r="M298" s="15" t="s">
        <v>2</v>
      </c>
      <c r="N298" s="15" t="s">
        <v>5</v>
      </c>
      <c r="O298" s="15"/>
      <c r="P298" s="15" t="s">
        <v>2</v>
      </c>
      <c r="Q298" s="18" t="s">
        <v>6</v>
      </c>
      <c r="R298" s="15" t="s">
        <v>2</v>
      </c>
      <c r="S298" s="76" t="str">
        <f>+S255</f>
        <v>------------------------</v>
      </c>
      <c r="T298" s="18" t="str">
        <f>+T255</f>
        <v>APPORTIONMENT</v>
      </c>
      <c r="U298" s="15" t="str">
        <f>+U255</f>
        <v>---------------------</v>
      </c>
      <c r="V298" s="15" t="s">
        <v>2</v>
      </c>
      <c r="W298" s="35"/>
      <c r="X298" s="35"/>
      <c r="Y298" s="35"/>
      <c r="AB298" s="38"/>
    </row>
    <row r="299" spans="1:28" ht="21">
      <c r="A299" s="15"/>
      <c r="B299" s="15" t="s">
        <v>2</v>
      </c>
      <c r="C299" s="15"/>
      <c r="D299" s="15"/>
      <c r="E299" s="15"/>
      <c r="F299" s="15" t="s">
        <v>2</v>
      </c>
      <c r="G299" s="15"/>
      <c r="H299" s="15"/>
      <c r="I299" s="15"/>
      <c r="J299" s="15"/>
      <c r="K299" s="15"/>
      <c r="L299" s="15"/>
      <c r="M299" s="15" t="s">
        <v>2</v>
      </c>
      <c r="N299" s="15"/>
      <c r="O299" s="20" t="s">
        <v>8</v>
      </c>
      <c r="P299" s="15" t="s">
        <v>2</v>
      </c>
      <c r="Q299" s="15"/>
      <c r="R299" s="15" t="s">
        <v>2</v>
      </c>
      <c r="S299" s="76"/>
      <c r="T299" s="15"/>
      <c r="U299" s="15"/>
      <c r="V299" s="15" t="s">
        <v>2</v>
      </c>
      <c r="W299" s="35"/>
      <c r="X299" s="35"/>
      <c r="Y299" s="35"/>
      <c r="AB299" s="38"/>
    </row>
    <row r="300" spans="1:28" ht="21">
      <c r="A300" s="15"/>
      <c r="B300" s="15" t="s">
        <v>2</v>
      </c>
      <c r="C300" s="15"/>
      <c r="D300" s="15"/>
      <c r="E300" s="18" t="s">
        <v>9</v>
      </c>
      <c r="F300" s="15" t="s">
        <v>2</v>
      </c>
      <c r="G300" s="15"/>
      <c r="H300" s="15"/>
      <c r="I300" s="15"/>
      <c r="J300" s="20" t="s">
        <v>10</v>
      </c>
      <c r="K300" s="20" t="s">
        <v>11</v>
      </c>
      <c r="L300" s="15"/>
      <c r="M300" s="15" t="s">
        <v>2</v>
      </c>
      <c r="N300" s="15"/>
      <c r="O300" s="20" t="s">
        <v>12</v>
      </c>
      <c r="P300" s="15" t="s">
        <v>2</v>
      </c>
      <c r="Q300" s="18" t="s">
        <v>13</v>
      </c>
      <c r="R300" s="15" t="s">
        <v>2</v>
      </c>
      <c r="S300" s="76"/>
      <c r="U300" s="15"/>
      <c r="V300" s="15" t="s">
        <v>2</v>
      </c>
      <c r="W300" s="35"/>
      <c r="X300" s="35"/>
      <c r="Y300" s="35"/>
      <c r="AB300" s="38"/>
    </row>
    <row r="301" spans="1:28" ht="21">
      <c r="A301" s="15"/>
      <c r="B301" s="15" t="s">
        <v>2</v>
      </c>
      <c r="C301" s="15"/>
      <c r="D301" s="18" t="s">
        <v>14</v>
      </c>
      <c r="E301" s="18" t="s">
        <v>15</v>
      </c>
      <c r="F301" s="15" t="s">
        <v>2</v>
      </c>
      <c r="G301" s="20" t="s">
        <v>215</v>
      </c>
      <c r="H301" s="20" t="s">
        <v>16</v>
      </c>
      <c r="I301" s="20" t="s">
        <v>17</v>
      </c>
      <c r="J301" s="20" t="s">
        <v>18</v>
      </c>
      <c r="K301" s="20" t="s">
        <v>19</v>
      </c>
      <c r="L301" s="20" t="s">
        <v>9</v>
      </c>
      <c r="M301" s="15" t="s">
        <v>2</v>
      </c>
      <c r="N301" s="20" t="s">
        <v>20</v>
      </c>
      <c r="O301" s="20" t="s">
        <v>21</v>
      </c>
      <c r="P301" s="15" t="s">
        <v>2</v>
      </c>
      <c r="Q301" s="20" t="s">
        <v>22</v>
      </c>
      <c r="R301" s="15" t="s">
        <v>2</v>
      </c>
      <c r="S301" s="76"/>
      <c r="T301" s="9" t="s">
        <v>23</v>
      </c>
      <c r="U301" s="15"/>
      <c r="V301" s="15" t="s">
        <v>2</v>
      </c>
      <c r="W301" s="35"/>
      <c r="X301" s="35"/>
      <c r="Y301" s="35"/>
      <c r="AB301" s="38"/>
    </row>
    <row r="302" spans="1:28" ht="21">
      <c r="A302" s="15"/>
      <c r="B302" s="15" t="s">
        <v>2</v>
      </c>
      <c r="C302" s="18" t="s">
        <v>15</v>
      </c>
      <c r="D302" s="18" t="s">
        <v>25</v>
      </c>
      <c r="E302" s="18" t="s">
        <v>14</v>
      </c>
      <c r="F302" s="15" t="s">
        <v>2</v>
      </c>
      <c r="G302" s="20" t="s">
        <v>216</v>
      </c>
      <c r="H302" s="20" t="s">
        <v>26</v>
      </c>
      <c r="I302" s="20" t="s">
        <v>16</v>
      </c>
      <c r="J302" s="20" t="s">
        <v>27</v>
      </c>
      <c r="K302" s="20" t="s">
        <v>28</v>
      </c>
      <c r="L302" s="20" t="s">
        <v>29</v>
      </c>
      <c r="M302" s="15" t="s">
        <v>2</v>
      </c>
      <c r="N302" s="20" t="s">
        <v>15</v>
      </c>
      <c r="O302" s="20" t="s">
        <v>30</v>
      </c>
      <c r="P302" s="15" t="s">
        <v>2</v>
      </c>
      <c r="Q302" s="20" t="s">
        <v>12</v>
      </c>
      <c r="R302" s="15" t="s">
        <v>2</v>
      </c>
      <c r="T302" s="18" t="str">
        <f>+T259</f>
        <v>Extra</v>
      </c>
      <c r="U302" s="20" t="s">
        <v>31</v>
      </c>
      <c r="V302" s="15" t="s">
        <v>2</v>
      </c>
      <c r="W302" s="35"/>
      <c r="X302" s="35"/>
      <c r="Y302" s="35"/>
      <c r="AB302" s="38"/>
    </row>
    <row r="303" spans="1:45" ht="22.5">
      <c r="A303" s="15"/>
      <c r="B303" s="15" t="s">
        <v>2</v>
      </c>
      <c r="C303" s="18" t="s">
        <v>14</v>
      </c>
      <c r="D303" s="18" t="s">
        <v>33</v>
      </c>
      <c r="E303" s="18" t="s">
        <v>34</v>
      </c>
      <c r="F303" s="15" t="s">
        <v>2</v>
      </c>
      <c r="G303" s="20" t="s">
        <v>35</v>
      </c>
      <c r="H303" s="20" t="s">
        <v>36</v>
      </c>
      <c r="I303" s="20" t="s">
        <v>37</v>
      </c>
      <c r="J303" s="20" t="s">
        <v>38</v>
      </c>
      <c r="K303" s="20" t="s">
        <v>39</v>
      </c>
      <c r="L303" s="20" t="s">
        <v>40</v>
      </c>
      <c r="M303" s="15" t="s">
        <v>2</v>
      </c>
      <c r="N303" s="20" t="s">
        <v>14</v>
      </c>
      <c r="O303" s="20" t="s">
        <v>41</v>
      </c>
      <c r="P303" s="15" t="s">
        <v>2</v>
      </c>
      <c r="Q303" s="22">
        <f>+Q10</f>
        <v>0.25577674211452567</v>
      </c>
      <c r="R303" s="15" t="s">
        <v>2</v>
      </c>
      <c r="S303" s="80" t="str">
        <f>+S260</f>
        <v>Apportionment</v>
      </c>
      <c r="T303" s="18" t="str">
        <f>+T260</f>
        <v>Mile</v>
      </c>
      <c r="U303" s="20" t="s">
        <v>42</v>
      </c>
      <c r="V303" s="15" t="s">
        <v>2</v>
      </c>
      <c r="W303" s="35"/>
      <c r="X303" s="35"/>
      <c r="Y303" s="35"/>
      <c r="AB303" s="38"/>
      <c r="AK303" s="60" t="s">
        <v>513</v>
      </c>
      <c r="AS303" s="60" t="s">
        <v>505</v>
      </c>
    </row>
    <row r="304" spans="1:28" ht="21">
      <c r="A304" s="15"/>
      <c r="B304" s="15"/>
      <c r="C304" s="15"/>
      <c r="D304" s="15"/>
      <c r="E304" s="15"/>
      <c r="F304" s="15"/>
      <c r="G304" s="19" t="s">
        <v>3</v>
      </c>
      <c r="H304" s="19" t="s">
        <v>3</v>
      </c>
      <c r="I304" s="19" t="s">
        <v>3</v>
      </c>
      <c r="J304" s="19" t="s">
        <v>3</v>
      </c>
      <c r="K304" s="19" t="s">
        <v>3</v>
      </c>
      <c r="L304" s="19" t="s">
        <v>3</v>
      </c>
      <c r="M304" s="15"/>
      <c r="N304" s="15"/>
      <c r="O304" s="15"/>
      <c r="P304" s="15"/>
      <c r="Q304" s="22"/>
      <c r="R304" s="15"/>
      <c r="S304" s="76"/>
      <c r="T304" s="15"/>
      <c r="U304" s="15"/>
      <c r="V304" s="15"/>
      <c r="W304" s="35"/>
      <c r="X304" s="35"/>
      <c r="Y304" s="35"/>
      <c r="AB304" s="38"/>
    </row>
    <row r="305" spans="1:66" ht="101.25" thickBot="1">
      <c r="A305" s="19" t="s">
        <v>3</v>
      </c>
      <c r="B305" s="15"/>
      <c r="C305" s="19" t="s">
        <v>3</v>
      </c>
      <c r="D305" s="19" t="s">
        <v>3</v>
      </c>
      <c r="E305" s="19" t="s">
        <v>3</v>
      </c>
      <c r="F305" s="15"/>
      <c r="G305" s="19" t="s">
        <v>3</v>
      </c>
      <c r="H305" s="19" t="s">
        <v>3</v>
      </c>
      <c r="I305" s="19" t="s">
        <v>3</v>
      </c>
      <c r="J305" s="19" t="s">
        <v>3</v>
      </c>
      <c r="K305" s="19" t="s">
        <v>3</v>
      </c>
      <c r="L305" s="19" t="s">
        <v>3</v>
      </c>
      <c r="M305" s="15"/>
      <c r="N305" s="19" t="s">
        <v>3</v>
      </c>
      <c r="O305" s="19" t="s">
        <v>3</v>
      </c>
      <c r="P305" s="15"/>
      <c r="Q305" s="19" t="s">
        <v>3</v>
      </c>
      <c r="R305" s="15"/>
      <c r="S305" s="78" t="s">
        <v>3</v>
      </c>
      <c r="T305" s="19" t="s">
        <v>3</v>
      </c>
      <c r="U305" s="19" t="s">
        <v>3</v>
      </c>
      <c r="V305" s="15"/>
      <c r="W305" s="35"/>
      <c r="X305" s="69" t="s">
        <v>577</v>
      </c>
      <c r="Y305" s="69" t="s">
        <v>508</v>
      </c>
      <c r="Z305" s="24">
        <v>2020</v>
      </c>
      <c r="AA305" s="24">
        <v>2019</v>
      </c>
      <c r="AB305" s="24">
        <v>2018</v>
      </c>
      <c r="AC305" s="25" t="s">
        <v>394</v>
      </c>
      <c r="AD305" s="26"/>
      <c r="AK305" s="27" t="s">
        <v>379</v>
      </c>
      <c r="AL305" s="27" t="s">
        <v>380</v>
      </c>
      <c r="AM305" s="27" t="s">
        <v>381</v>
      </c>
      <c r="AN305" s="27" t="s">
        <v>382</v>
      </c>
      <c r="AO305" s="27" t="s">
        <v>383</v>
      </c>
      <c r="AS305" s="27" t="s">
        <v>379</v>
      </c>
      <c r="AT305" s="27" t="s">
        <v>380</v>
      </c>
      <c r="AU305" s="27" t="s">
        <v>381</v>
      </c>
      <c r="AV305" s="27" t="s">
        <v>382</v>
      </c>
      <c r="AW305" s="27" t="s">
        <v>383</v>
      </c>
      <c r="AX305" s="63"/>
      <c r="BJ305" s="27" t="s">
        <v>379</v>
      </c>
      <c r="BK305" s="27" t="s">
        <v>380</v>
      </c>
      <c r="BL305" s="27" t="s">
        <v>381</v>
      </c>
      <c r="BM305" s="27" t="s">
        <v>382</v>
      </c>
      <c r="BN305" s="27" t="s">
        <v>383</v>
      </c>
    </row>
    <row r="306" spans="1:66" ht="21">
      <c r="A306" s="15" t="s">
        <v>236</v>
      </c>
      <c r="B306" s="28"/>
      <c r="C306" s="29">
        <f aca="true" t="shared" si="119" ref="C306:C325">AK306</f>
        <v>74986</v>
      </c>
      <c r="D306" s="21">
        <f aca="true" t="shared" si="120" ref="D306:D325">AL306</f>
        <v>0</v>
      </c>
      <c r="E306" s="15">
        <f>D306+C306</f>
        <v>74986</v>
      </c>
      <c r="F306" s="15"/>
      <c r="G306" s="15">
        <f aca="true" t="shared" si="121" ref="G306:G325">AM306</f>
        <v>0</v>
      </c>
      <c r="H306" s="21">
        <f aca="true" t="shared" si="122" ref="H306:H325">AN306</f>
        <v>10102</v>
      </c>
      <c r="I306" s="15">
        <f aca="true" t="shared" si="123" ref="I306:I325">H306*0.5</f>
        <v>5051</v>
      </c>
      <c r="J306" s="21">
        <f aca="true" t="shared" si="124" ref="J306:J325">AO306</f>
        <v>0</v>
      </c>
      <c r="K306" s="15">
        <f aca="true" t="shared" si="125" ref="K306:K325">J306*0.25</f>
        <v>0</v>
      </c>
      <c r="L306" s="15">
        <f aca="true" t="shared" si="126" ref="L306:L325">+G306+I306+K306</f>
        <v>5051</v>
      </c>
      <c r="M306" s="15"/>
      <c r="N306" s="15">
        <f aca="true" t="shared" si="127" ref="N306:N325">E306-L306</f>
        <v>69935</v>
      </c>
      <c r="O306" s="15">
        <f aca="true" t="shared" si="128" ref="O306:O325">IF(N306&gt;=4000,(N306-4000)*0.9+2200,IF(N306&gt;=3000,(N306-3000)*0.8+1400,IF(N306&gt;=2000,(N306-2000)*0.6+800,IF(N306&gt;0,N306*0.4,0))))</f>
        <v>61541.5</v>
      </c>
      <c r="P306" s="15"/>
      <c r="Q306" s="30" t="s">
        <v>44</v>
      </c>
      <c r="R306" s="15"/>
      <c r="S306" s="76">
        <f aca="true" t="shared" si="129" ref="S306:S325">ROUND(SUM(O306*$Q$10),0)</f>
        <v>15741</v>
      </c>
      <c r="T306" s="15">
        <f aca="true" t="shared" si="130" ref="T306:T325">ROUND(SUM(S306*0.1),0)</f>
        <v>1574</v>
      </c>
      <c r="U306" s="15">
        <f aca="true" t="shared" si="131" ref="U306:U325">SUM(S306:T306)</f>
        <v>17315</v>
      </c>
      <c r="V306" s="15"/>
      <c r="W306" s="15" t="s">
        <v>236</v>
      </c>
      <c r="X306" s="15">
        <f>S306</f>
        <v>15741</v>
      </c>
      <c r="Y306" s="15">
        <v>17249</v>
      </c>
      <c r="Z306" s="35">
        <v>17585</v>
      </c>
      <c r="AA306" s="35">
        <v>16210</v>
      </c>
      <c r="AB306" s="31">
        <v>13748</v>
      </c>
      <c r="AC306" s="15">
        <f>Z306-AA306</f>
        <v>1375</v>
      </c>
      <c r="AE306" s="3">
        <v>1</v>
      </c>
      <c r="AF306" s="3" t="s">
        <v>236</v>
      </c>
      <c r="AG306" s="3">
        <v>16210</v>
      </c>
      <c r="AJ306" s="81" t="s">
        <v>482</v>
      </c>
      <c r="AK306" s="81">
        <v>74986</v>
      </c>
      <c r="AL306" s="81">
        <v>0</v>
      </c>
      <c r="AM306" s="81">
        <v>0</v>
      </c>
      <c r="AN306" s="81">
        <v>10102</v>
      </c>
      <c r="AO306" s="81">
        <v>0</v>
      </c>
      <c r="AR306" s="32" t="s">
        <v>260</v>
      </c>
      <c r="AS306" s="57">
        <v>87176</v>
      </c>
      <c r="AT306" s="57">
        <v>0</v>
      </c>
      <c r="AU306" s="57">
        <v>0</v>
      </c>
      <c r="AV306" s="57">
        <v>10510</v>
      </c>
      <c r="AW306" s="57">
        <v>0</v>
      </c>
      <c r="AX306" s="33"/>
      <c r="AZ306" s="32" t="s">
        <v>482</v>
      </c>
      <c r="BA306" s="57">
        <v>87176</v>
      </c>
      <c r="BB306" s="57">
        <v>0</v>
      </c>
      <c r="BC306" s="57">
        <v>0</v>
      </c>
      <c r="BD306" s="57">
        <v>10510</v>
      </c>
      <c r="BE306" s="57">
        <v>0</v>
      </c>
      <c r="BG306" s="43"/>
      <c r="BH306" s="32" t="s">
        <v>260</v>
      </c>
      <c r="BJ306" s="46">
        <v>85172.43</v>
      </c>
      <c r="BK306" s="46">
        <v>0</v>
      </c>
      <c r="BL306" s="46">
        <v>0</v>
      </c>
      <c r="BM306" s="46">
        <v>10368.22</v>
      </c>
      <c r="BN306" s="46">
        <v>0</v>
      </c>
    </row>
    <row r="307" spans="1:66" ht="21.75">
      <c r="A307" s="15" t="s">
        <v>165</v>
      </c>
      <c r="B307" s="34"/>
      <c r="C307" s="29">
        <f t="shared" si="119"/>
        <v>45812</v>
      </c>
      <c r="D307" s="21">
        <f t="shared" si="120"/>
        <v>0</v>
      </c>
      <c r="E307" s="15">
        <f aca="true" t="shared" si="132" ref="E307:E325">D307+C307</f>
        <v>45812</v>
      </c>
      <c r="F307" s="15"/>
      <c r="G307" s="15">
        <f t="shared" si="121"/>
        <v>0</v>
      </c>
      <c r="H307" s="21">
        <f t="shared" si="122"/>
        <v>0</v>
      </c>
      <c r="I307" s="15">
        <f t="shared" si="123"/>
        <v>0</v>
      </c>
      <c r="J307" s="21">
        <f t="shared" si="124"/>
        <v>0</v>
      </c>
      <c r="K307" s="15">
        <f t="shared" si="125"/>
        <v>0</v>
      </c>
      <c r="L307" s="15">
        <f t="shared" si="126"/>
        <v>0</v>
      </c>
      <c r="M307" s="15"/>
      <c r="N307" s="15">
        <f t="shared" si="127"/>
        <v>45812</v>
      </c>
      <c r="O307" s="15">
        <f t="shared" si="128"/>
        <v>39830.8</v>
      </c>
      <c r="P307" s="15"/>
      <c r="Q307" s="30" t="s">
        <v>44</v>
      </c>
      <c r="R307" s="15"/>
      <c r="S307" s="76">
        <f t="shared" si="129"/>
        <v>10188</v>
      </c>
      <c r="T307" s="15">
        <f t="shared" si="130"/>
        <v>1019</v>
      </c>
      <c r="U307" s="15">
        <f t="shared" si="131"/>
        <v>11207</v>
      </c>
      <c r="V307" s="15"/>
      <c r="W307" s="15" t="s">
        <v>165</v>
      </c>
      <c r="X307" s="15">
        <f aca="true" t="shared" si="133" ref="X307:X325">S307</f>
        <v>10188</v>
      </c>
      <c r="Y307" s="15">
        <v>10918</v>
      </c>
      <c r="Z307" s="35">
        <v>20468</v>
      </c>
      <c r="AA307" s="35">
        <v>18480</v>
      </c>
      <c r="AB307" s="31">
        <v>27419</v>
      </c>
      <c r="AC307" s="15">
        <f aca="true" t="shared" si="134" ref="AC307:AC327">Z307-AA307</f>
        <v>1988</v>
      </c>
      <c r="AE307" s="3">
        <v>1</v>
      </c>
      <c r="AF307" s="3" t="s">
        <v>165</v>
      </c>
      <c r="AG307" s="3">
        <v>18480</v>
      </c>
      <c r="AI307" s="39"/>
      <c r="AJ307" s="81" t="s">
        <v>558</v>
      </c>
      <c r="AK307" s="81">
        <v>45812</v>
      </c>
      <c r="AL307" s="81">
        <v>0</v>
      </c>
      <c r="AM307" s="81">
        <v>0</v>
      </c>
      <c r="AN307" s="81">
        <v>0</v>
      </c>
      <c r="AO307" s="81">
        <v>0</v>
      </c>
      <c r="AR307" s="32" t="s">
        <v>165</v>
      </c>
      <c r="AS307" s="57">
        <v>52427</v>
      </c>
      <c r="AT307" s="57">
        <v>0</v>
      </c>
      <c r="AU307" s="57">
        <v>0</v>
      </c>
      <c r="AV307" s="57">
        <v>0</v>
      </c>
      <c r="AW307" s="57">
        <v>0</v>
      </c>
      <c r="AX307" s="33"/>
      <c r="AZ307" s="32" t="s">
        <v>467</v>
      </c>
      <c r="BA307" s="57">
        <v>52427</v>
      </c>
      <c r="BB307" s="57">
        <v>0</v>
      </c>
      <c r="BC307" s="57">
        <v>0</v>
      </c>
      <c r="BD307" s="57">
        <v>0</v>
      </c>
      <c r="BE307" s="57">
        <v>0</v>
      </c>
      <c r="BF307" s="50"/>
      <c r="BG307" s="43"/>
      <c r="BH307" s="32" t="s">
        <v>165</v>
      </c>
      <c r="BJ307" s="33">
        <f>84405*1.1</f>
        <v>92845.50000000001</v>
      </c>
      <c r="BK307" s="33">
        <v>0</v>
      </c>
      <c r="BL307" s="33">
        <v>0</v>
      </c>
      <c r="BM307" s="33">
        <v>0</v>
      </c>
      <c r="BN307" s="33">
        <v>0</v>
      </c>
    </row>
    <row r="308" spans="1:66" ht="21">
      <c r="A308" s="15" t="s">
        <v>229</v>
      </c>
      <c r="B308" s="28"/>
      <c r="C308" s="29">
        <f t="shared" si="119"/>
        <v>178993</v>
      </c>
      <c r="D308" s="21">
        <f t="shared" si="120"/>
        <v>0</v>
      </c>
      <c r="E308" s="15">
        <f t="shared" si="132"/>
        <v>178993</v>
      </c>
      <c r="F308" s="15"/>
      <c r="G308" s="15">
        <f t="shared" si="121"/>
        <v>0</v>
      </c>
      <c r="H308" s="21">
        <f t="shared" si="122"/>
        <v>22299</v>
      </c>
      <c r="I308" s="15">
        <f t="shared" si="123"/>
        <v>11149.5</v>
      </c>
      <c r="J308" s="21">
        <f t="shared" si="124"/>
        <v>18815</v>
      </c>
      <c r="K308" s="15">
        <f t="shared" si="125"/>
        <v>4703.75</v>
      </c>
      <c r="L308" s="15">
        <f t="shared" si="126"/>
        <v>15853.25</v>
      </c>
      <c r="M308" s="15"/>
      <c r="N308" s="15">
        <f t="shared" si="127"/>
        <v>163139.75</v>
      </c>
      <c r="O308" s="15">
        <f t="shared" si="128"/>
        <v>145425.775</v>
      </c>
      <c r="P308" s="15"/>
      <c r="Q308" s="30" t="s">
        <v>44</v>
      </c>
      <c r="R308" s="15"/>
      <c r="S308" s="76">
        <f t="shared" si="129"/>
        <v>37197</v>
      </c>
      <c r="T308" s="15">
        <f t="shared" si="130"/>
        <v>3720</v>
      </c>
      <c r="U308" s="15">
        <f t="shared" si="131"/>
        <v>40917</v>
      </c>
      <c r="V308" s="15"/>
      <c r="W308" s="15" t="s">
        <v>229</v>
      </c>
      <c r="X308" s="15">
        <f t="shared" si="133"/>
        <v>37197</v>
      </c>
      <c r="Y308" s="15">
        <v>40366</v>
      </c>
      <c r="Z308" s="35">
        <v>39607</v>
      </c>
      <c r="AA308" s="35">
        <v>38188</v>
      </c>
      <c r="AB308" s="31">
        <v>36173</v>
      </c>
      <c r="AC308" s="15">
        <f t="shared" si="134"/>
        <v>1419</v>
      </c>
      <c r="AE308" s="3">
        <v>1</v>
      </c>
      <c r="AF308" s="3" t="s">
        <v>229</v>
      </c>
      <c r="AG308" s="3">
        <v>38188</v>
      </c>
      <c r="AJ308" s="81" t="s">
        <v>550</v>
      </c>
      <c r="AK308" s="81">
        <v>178993</v>
      </c>
      <c r="AL308" s="81">
        <v>0</v>
      </c>
      <c r="AM308" s="81">
        <v>0</v>
      </c>
      <c r="AN308" s="81">
        <v>22299</v>
      </c>
      <c r="AO308" s="81">
        <v>18815</v>
      </c>
      <c r="AR308" s="32" t="s">
        <v>254</v>
      </c>
      <c r="AS308" s="57">
        <v>205260</v>
      </c>
      <c r="AT308" s="57">
        <v>0</v>
      </c>
      <c r="AU308" s="57">
        <v>0</v>
      </c>
      <c r="AV308" s="57">
        <v>21784</v>
      </c>
      <c r="AW308" s="57">
        <v>18947</v>
      </c>
      <c r="AX308" s="33"/>
      <c r="AZ308" s="32" t="s">
        <v>468</v>
      </c>
      <c r="BA308" s="57">
        <v>205260</v>
      </c>
      <c r="BB308" s="57">
        <v>0</v>
      </c>
      <c r="BC308" s="57">
        <v>0</v>
      </c>
      <c r="BD308" s="57">
        <v>21784</v>
      </c>
      <c r="BE308" s="57">
        <v>18947</v>
      </c>
      <c r="BF308" s="50"/>
      <c r="BG308" s="43"/>
      <c r="BH308" s="32" t="s">
        <v>254</v>
      </c>
      <c r="BJ308" s="46">
        <v>188774.58</v>
      </c>
      <c r="BK308" s="46">
        <v>0</v>
      </c>
      <c r="BL308" s="46">
        <v>0</v>
      </c>
      <c r="BM308" s="46">
        <v>21133.2</v>
      </c>
      <c r="BN308" s="46">
        <v>0</v>
      </c>
    </row>
    <row r="309" spans="1:66" ht="21">
      <c r="A309" s="15" t="s">
        <v>83</v>
      </c>
      <c r="B309" s="28"/>
      <c r="C309" s="29">
        <f t="shared" si="119"/>
        <v>88423</v>
      </c>
      <c r="D309" s="21">
        <f t="shared" si="120"/>
        <v>0</v>
      </c>
      <c r="E309" s="15">
        <f t="shared" si="132"/>
        <v>88423</v>
      </c>
      <c r="F309" s="15"/>
      <c r="G309" s="15">
        <f t="shared" si="121"/>
        <v>0</v>
      </c>
      <c r="H309" s="21">
        <f t="shared" si="122"/>
        <v>10532</v>
      </c>
      <c r="I309" s="15">
        <f t="shared" si="123"/>
        <v>5266</v>
      </c>
      <c r="J309" s="21">
        <f t="shared" si="124"/>
        <v>0</v>
      </c>
      <c r="K309" s="15">
        <f t="shared" si="125"/>
        <v>0</v>
      </c>
      <c r="L309" s="15">
        <f t="shared" si="126"/>
        <v>5266</v>
      </c>
      <c r="M309" s="15"/>
      <c r="N309" s="15">
        <f t="shared" si="127"/>
        <v>83157</v>
      </c>
      <c r="O309" s="15">
        <f t="shared" si="128"/>
        <v>73441.3</v>
      </c>
      <c r="P309" s="15"/>
      <c r="Q309" s="30" t="s">
        <v>44</v>
      </c>
      <c r="R309" s="15"/>
      <c r="S309" s="76">
        <f t="shared" si="129"/>
        <v>18785</v>
      </c>
      <c r="T309" s="15">
        <f t="shared" si="130"/>
        <v>1879</v>
      </c>
      <c r="U309" s="15">
        <f t="shared" si="131"/>
        <v>20664</v>
      </c>
      <c r="V309" s="15"/>
      <c r="W309" s="15" t="s">
        <v>83</v>
      </c>
      <c r="X309" s="15">
        <f t="shared" si="133"/>
        <v>18785</v>
      </c>
      <c r="Y309" s="15">
        <v>17936</v>
      </c>
      <c r="Z309" s="35">
        <v>18678</v>
      </c>
      <c r="AA309" s="35">
        <v>19962</v>
      </c>
      <c r="AB309" s="31">
        <v>16174</v>
      </c>
      <c r="AC309" s="15">
        <f t="shared" si="134"/>
        <v>-1284</v>
      </c>
      <c r="AE309" s="3">
        <v>1</v>
      </c>
      <c r="AF309" s="3" t="s">
        <v>83</v>
      </c>
      <c r="AG309" s="3">
        <v>19962</v>
      </c>
      <c r="AJ309" s="81" t="s">
        <v>553</v>
      </c>
      <c r="AK309" s="85">
        <v>88423</v>
      </c>
      <c r="AN309" s="85">
        <v>10532</v>
      </c>
      <c r="AR309" s="32" t="s">
        <v>83</v>
      </c>
      <c r="AS309" s="57">
        <v>90388</v>
      </c>
      <c r="AT309" s="57">
        <v>0</v>
      </c>
      <c r="AU309" s="57">
        <v>0</v>
      </c>
      <c r="AV309" s="57">
        <v>10532</v>
      </c>
      <c r="AW309" s="57">
        <v>0</v>
      </c>
      <c r="AX309" s="33"/>
      <c r="AZ309" s="32" t="s">
        <v>469</v>
      </c>
      <c r="BA309" s="57">
        <v>90388</v>
      </c>
      <c r="BB309" s="57">
        <v>0</v>
      </c>
      <c r="BC309" s="57">
        <v>0</v>
      </c>
      <c r="BD309" s="57">
        <v>10532</v>
      </c>
      <c r="BE309" s="57">
        <v>0</v>
      </c>
      <c r="BF309" s="50"/>
      <c r="BG309" s="43"/>
      <c r="BH309" s="32" t="s">
        <v>83</v>
      </c>
      <c r="BJ309" s="46">
        <v>90064</v>
      </c>
      <c r="BK309" s="46">
        <v>0</v>
      </c>
      <c r="BL309" s="46">
        <v>0</v>
      </c>
      <c r="BM309" s="46">
        <v>10405</v>
      </c>
      <c r="BN309" s="46">
        <v>0</v>
      </c>
    </row>
    <row r="310" spans="1:66" ht="21">
      <c r="A310" s="15" t="s">
        <v>133</v>
      </c>
      <c r="B310" s="28"/>
      <c r="C310" s="29">
        <f t="shared" si="119"/>
        <v>155897</v>
      </c>
      <c r="D310" s="21">
        <f t="shared" si="120"/>
        <v>0</v>
      </c>
      <c r="E310" s="15">
        <f t="shared" si="132"/>
        <v>155897</v>
      </c>
      <c r="F310" s="15"/>
      <c r="G310" s="15">
        <f t="shared" si="121"/>
        <v>0</v>
      </c>
      <c r="H310" s="21">
        <f t="shared" si="122"/>
        <v>12827</v>
      </c>
      <c r="I310" s="15">
        <f t="shared" si="123"/>
        <v>6413.5</v>
      </c>
      <c r="J310" s="21">
        <f t="shared" si="124"/>
        <v>0</v>
      </c>
      <c r="K310" s="15">
        <f t="shared" si="125"/>
        <v>0</v>
      </c>
      <c r="L310" s="15">
        <f t="shared" si="126"/>
        <v>6413.5</v>
      </c>
      <c r="M310" s="15"/>
      <c r="N310" s="15">
        <f t="shared" si="127"/>
        <v>149483.5</v>
      </c>
      <c r="O310" s="15">
        <f t="shared" si="128"/>
        <v>133135.15000000002</v>
      </c>
      <c r="P310" s="15"/>
      <c r="Q310" s="30" t="s">
        <v>44</v>
      </c>
      <c r="R310" s="15"/>
      <c r="S310" s="76">
        <f t="shared" si="129"/>
        <v>34053</v>
      </c>
      <c r="T310" s="15">
        <f t="shared" si="130"/>
        <v>3405</v>
      </c>
      <c r="U310" s="15">
        <f t="shared" si="131"/>
        <v>37458</v>
      </c>
      <c r="V310" s="15"/>
      <c r="W310" s="15" t="s">
        <v>133</v>
      </c>
      <c r="X310" s="15">
        <f t="shared" si="133"/>
        <v>34053</v>
      </c>
      <c r="Y310" s="15">
        <v>42524</v>
      </c>
      <c r="Z310" s="35">
        <v>42681</v>
      </c>
      <c r="AA310" s="35">
        <v>37595</v>
      </c>
      <c r="AB310" s="31">
        <v>33862</v>
      </c>
      <c r="AC310" s="15">
        <f t="shared" si="134"/>
        <v>5086</v>
      </c>
      <c r="AE310" s="3">
        <v>1</v>
      </c>
      <c r="AF310" s="3" t="s">
        <v>133</v>
      </c>
      <c r="AG310" s="3">
        <v>37595</v>
      </c>
      <c r="AJ310" s="81" t="s">
        <v>551</v>
      </c>
      <c r="AK310" s="81">
        <v>155897</v>
      </c>
      <c r="AL310" s="81">
        <v>0</v>
      </c>
      <c r="AM310" s="81">
        <v>0</v>
      </c>
      <c r="AN310" s="81">
        <v>12827</v>
      </c>
      <c r="AO310" s="81">
        <v>0</v>
      </c>
      <c r="AR310" s="32" t="s">
        <v>255</v>
      </c>
      <c r="AS310" s="57">
        <v>205760</v>
      </c>
      <c r="AT310" s="57">
        <v>0</v>
      </c>
      <c r="AU310" s="57">
        <v>0</v>
      </c>
      <c r="AV310" s="57">
        <v>12150</v>
      </c>
      <c r="AW310" s="57">
        <v>0</v>
      </c>
      <c r="AX310" s="33"/>
      <c r="AZ310" s="32" t="s">
        <v>474</v>
      </c>
      <c r="BA310" s="57">
        <v>205760</v>
      </c>
      <c r="BB310" s="57">
        <v>0</v>
      </c>
      <c r="BC310" s="57">
        <v>0</v>
      </c>
      <c r="BD310" s="57">
        <v>12150</v>
      </c>
      <c r="BE310" s="57">
        <v>0</v>
      </c>
      <c r="BF310" s="50"/>
      <c r="BG310" s="43"/>
      <c r="BH310" s="32" t="s">
        <v>255</v>
      </c>
      <c r="BJ310" s="46">
        <v>197615.46</v>
      </c>
      <c r="BK310" s="46">
        <v>0</v>
      </c>
      <c r="BL310" s="46">
        <v>0</v>
      </c>
      <c r="BM310" s="46">
        <v>11391.95</v>
      </c>
      <c r="BN310" s="46">
        <v>0</v>
      </c>
    </row>
    <row r="311" spans="1:66" ht="21.75">
      <c r="A311" s="15" t="s">
        <v>132</v>
      </c>
      <c r="B311" s="62" t="s">
        <v>105</v>
      </c>
      <c r="C311" s="29">
        <f t="shared" si="119"/>
        <v>251884.12</v>
      </c>
      <c r="D311" s="21">
        <f t="shared" si="120"/>
        <v>0</v>
      </c>
      <c r="E311" s="15">
        <f t="shared" si="132"/>
        <v>251884.12</v>
      </c>
      <c r="F311" s="15"/>
      <c r="G311" s="15">
        <f t="shared" si="121"/>
        <v>0</v>
      </c>
      <c r="H311" s="21">
        <f t="shared" si="122"/>
        <v>28855.92</v>
      </c>
      <c r="I311" s="15">
        <f t="shared" si="123"/>
        <v>14427.96</v>
      </c>
      <c r="J311" s="21">
        <f t="shared" si="124"/>
        <v>7433.88</v>
      </c>
      <c r="K311" s="15">
        <f t="shared" si="125"/>
        <v>1858.47</v>
      </c>
      <c r="L311" s="15">
        <f t="shared" si="126"/>
        <v>16286.429999999998</v>
      </c>
      <c r="M311" s="15"/>
      <c r="N311" s="15">
        <f t="shared" si="127"/>
        <v>235597.69</v>
      </c>
      <c r="O311" s="15">
        <f t="shared" si="128"/>
        <v>210637.921</v>
      </c>
      <c r="P311" s="15"/>
      <c r="Q311" s="30" t="s">
        <v>44</v>
      </c>
      <c r="R311" s="15"/>
      <c r="S311" s="76">
        <f t="shared" si="129"/>
        <v>53876</v>
      </c>
      <c r="T311" s="15">
        <f t="shared" si="130"/>
        <v>5388</v>
      </c>
      <c r="U311" s="15">
        <f t="shared" si="131"/>
        <v>59264</v>
      </c>
      <c r="V311" s="15"/>
      <c r="W311" s="15" t="s">
        <v>132</v>
      </c>
      <c r="X311" s="15">
        <f t="shared" si="133"/>
        <v>53876</v>
      </c>
      <c r="Y311" s="15">
        <v>50232</v>
      </c>
      <c r="Z311" s="35">
        <v>49870</v>
      </c>
      <c r="AA311" s="35">
        <v>49101</v>
      </c>
      <c r="AB311" s="31">
        <v>45766</v>
      </c>
      <c r="AC311" s="15">
        <f t="shared" si="134"/>
        <v>769</v>
      </c>
      <c r="AE311" s="3">
        <v>1</v>
      </c>
      <c r="AF311" s="3" t="s">
        <v>132</v>
      </c>
      <c r="AG311" s="3">
        <v>49101</v>
      </c>
      <c r="AJ311" s="89"/>
      <c r="AK311" s="91">
        <f>AS311</f>
        <v>251884.12</v>
      </c>
      <c r="AL311" s="91">
        <f>AT311</f>
        <v>0</v>
      </c>
      <c r="AM311" s="91">
        <f>AU311</f>
        <v>0</v>
      </c>
      <c r="AN311" s="91">
        <f>AV311</f>
        <v>28855.92</v>
      </c>
      <c r="AO311" s="91">
        <f>AW311</f>
        <v>7433.88</v>
      </c>
      <c r="AR311" s="32" t="s">
        <v>132</v>
      </c>
      <c r="AS311" s="57">
        <v>251884.12</v>
      </c>
      <c r="AT311" s="57">
        <v>0</v>
      </c>
      <c r="AU311" s="57">
        <v>0</v>
      </c>
      <c r="AV311" s="57">
        <v>28855.92</v>
      </c>
      <c r="AW311" s="57">
        <v>7433.88</v>
      </c>
      <c r="AX311" s="33"/>
      <c r="AZ311" s="32" t="s">
        <v>472</v>
      </c>
      <c r="BA311" s="57">
        <v>251884.12</v>
      </c>
      <c r="BB311" s="57">
        <v>0</v>
      </c>
      <c r="BC311" s="57">
        <v>0</v>
      </c>
      <c r="BD311" s="57">
        <v>28855.92</v>
      </c>
      <c r="BE311" s="57">
        <v>7433.88</v>
      </c>
      <c r="BF311" s="50"/>
      <c r="BG311" s="43"/>
      <c r="BH311" s="32" t="s">
        <v>132</v>
      </c>
      <c r="BJ311" s="46">
        <v>240012.17</v>
      </c>
      <c r="BK311" s="46">
        <v>0</v>
      </c>
      <c r="BL311" s="46">
        <v>0</v>
      </c>
      <c r="BM311" s="46">
        <v>28341.14</v>
      </c>
      <c r="BN311" s="46">
        <v>7433.88</v>
      </c>
    </row>
    <row r="312" spans="1:66" ht="21">
      <c r="A312" s="15" t="s">
        <v>166</v>
      </c>
      <c r="B312" s="28"/>
      <c r="C312" s="29">
        <f t="shared" si="119"/>
        <v>124395</v>
      </c>
      <c r="D312" s="21">
        <f t="shared" si="120"/>
        <v>0</v>
      </c>
      <c r="E312" s="15">
        <f t="shared" si="132"/>
        <v>124395</v>
      </c>
      <c r="F312" s="15"/>
      <c r="G312" s="15">
        <f t="shared" si="121"/>
        <v>0</v>
      </c>
      <c r="H312" s="21">
        <f t="shared" si="122"/>
        <v>15900</v>
      </c>
      <c r="I312" s="15">
        <f t="shared" si="123"/>
        <v>7950</v>
      </c>
      <c r="J312" s="21">
        <f t="shared" si="124"/>
        <v>0</v>
      </c>
      <c r="K312" s="15">
        <f t="shared" si="125"/>
        <v>0</v>
      </c>
      <c r="L312" s="15">
        <f t="shared" si="126"/>
        <v>7950</v>
      </c>
      <c r="M312" s="15"/>
      <c r="N312" s="15">
        <f t="shared" si="127"/>
        <v>116445</v>
      </c>
      <c r="O312" s="15">
        <f t="shared" si="128"/>
        <v>103400.5</v>
      </c>
      <c r="P312" s="15"/>
      <c r="Q312" s="30" t="s">
        <v>44</v>
      </c>
      <c r="R312" s="15"/>
      <c r="S312" s="76">
        <f t="shared" si="129"/>
        <v>26447</v>
      </c>
      <c r="T312" s="15">
        <f t="shared" si="130"/>
        <v>2645</v>
      </c>
      <c r="U312" s="15">
        <f t="shared" si="131"/>
        <v>29092</v>
      </c>
      <c r="V312" s="15"/>
      <c r="W312" s="15" t="s">
        <v>166</v>
      </c>
      <c r="X312" s="15">
        <f t="shared" si="133"/>
        <v>26447</v>
      </c>
      <c r="Y312" s="15">
        <v>24066</v>
      </c>
      <c r="Z312" s="35">
        <v>25543</v>
      </c>
      <c r="AA312" s="35">
        <v>24866</v>
      </c>
      <c r="AB312" s="31">
        <v>22078</v>
      </c>
      <c r="AC312" s="15">
        <f t="shared" si="134"/>
        <v>677</v>
      </c>
      <c r="AE312" s="3">
        <v>1</v>
      </c>
      <c r="AF312" s="3" t="s">
        <v>166</v>
      </c>
      <c r="AG312" s="3">
        <v>24866</v>
      </c>
      <c r="AJ312" s="81" t="s">
        <v>473</v>
      </c>
      <c r="AK312" s="83">
        <v>124395</v>
      </c>
      <c r="AL312" s="81">
        <v>0</v>
      </c>
      <c r="AM312" s="81">
        <v>0</v>
      </c>
      <c r="AN312" s="83">
        <v>15900</v>
      </c>
      <c r="AO312" s="81">
        <v>0</v>
      </c>
      <c r="AR312" s="32" t="s">
        <v>166</v>
      </c>
      <c r="AS312" s="57">
        <v>121234.51</v>
      </c>
      <c r="AT312" s="57"/>
      <c r="AU312" s="57"/>
      <c r="AV312" s="57">
        <v>15101</v>
      </c>
      <c r="AW312" s="57">
        <v>0</v>
      </c>
      <c r="AX312" s="33"/>
      <c r="AZ312" s="32" t="s">
        <v>473</v>
      </c>
      <c r="BA312" s="57">
        <v>121234.51</v>
      </c>
      <c r="BB312" s="57"/>
      <c r="BC312" s="57"/>
      <c r="BD312" s="57">
        <v>15101</v>
      </c>
      <c r="BE312" s="57">
        <v>0</v>
      </c>
      <c r="BF312" s="50"/>
      <c r="BG312" s="43"/>
      <c r="BH312" s="32" t="s">
        <v>166</v>
      </c>
      <c r="BJ312" s="46">
        <v>122792.09</v>
      </c>
      <c r="BK312" s="46">
        <v>0</v>
      </c>
      <c r="BL312" s="46">
        <v>0</v>
      </c>
      <c r="BM312" s="46">
        <v>14626.8</v>
      </c>
      <c r="BN312" s="46">
        <v>0</v>
      </c>
    </row>
    <row r="313" spans="1:66" ht="21">
      <c r="A313" s="15" t="s">
        <v>134</v>
      </c>
      <c r="B313" s="28"/>
      <c r="C313" s="29">
        <f t="shared" si="119"/>
        <v>223348</v>
      </c>
      <c r="D313" s="21">
        <f t="shared" si="120"/>
        <v>0</v>
      </c>
      <c r="E313" s="15">
        <f t="shared" si="132"/>
        <v>223348</v>
      </c>
      <c r="F313" s="15"/>
      <c r="G313" s="15">
        <f t="shared" si="121"/>
        <v>0</v>
      </c>
      <c r="H313" s="21">
        <f t="shared" si="122"/>
        <v>0</v>
      </c>
      <c r="I313" s="15">
        <f t="shared" si="123"/>
        <v>0</v>
      </c>
      <c r="J313" s="21">
        <f t="shared" si="124"/>
        <v>58105</v>
      </c>
      <c r="K313" s="15">
        <f t="shared" si="125"/>
        <v>14526.25</v>
      </c>
      <c r="L313" s="15">
        <f t="shared" si="126"/>
        <v>14526.25</v>
      </c>
      <c r="M313" s="15"/>
      <c r="N313" s="15">
        <f t="shared" si="127"/>
        <v>208821.75</v>
      </c>
      <c r="O313" s="15">
        <f t="shared" si="128"/>
        <v>186539.575</v>
      </c>
      <c r="P313" s="15"/>
      <c r="Q313" s="30" t="s">
        <v>44</v>
      </c>
      <c r="R313" s="15"/>
      <c r="S313" s="76">
        <f t="shared" si="129"/>
        <v>47712</v>
      </c>
      <c r="T313" s="15">
        <f t="shared" si="130"/>
        <v>4771</v>
      </c>
      <c r="U313" s="15">
        <f t="shared" si="131"/>
        <v>52483</v>
      </c>
      <c r="V313" s="15"/>
      <c r="W313" s="15" t="s">
        <v>134</v>
      </c>
      <c r="X313" s="15">
        <f t="shared" si="133"/>
        <v>47712</v>
      </c>
      <c r="Y313" s="15">
        <v>46958</v>
      </c>
      <c r="Z313" s="35">
        <v>48245</v>
      </c>
      <c r="AA313" s="35">
        <v>46457</v>
      </c>
      <c r="AB313" s="31">
        <v>47081</v>
      </c>
      <c r="AC313" s="15">
        <f t="shared" si="134"/>
        <v>1788</v>
      </c>
      <c r="AE313" s="3">
        <v>1</v>
      </c>
      <c r="AF313" s="3" t="s">
        <v>134</v>
      </c>
      <c r="AG313" s="3">
        <v>46457</v>
      </c>
      <c r="AJ313" s="81" t="s">
        <v>475</v>
      </c>
      <c r="AK313" s="81">
        <v>223348</v>
      </c>
      <c r="AL313" s="81">
        <v>0</v>
      </c>
      <c r="AM313" s="81">
        <v>0</v>
      </c>
      <c r="AN313" s="81">
        <v>0</v>
      </c>
      <c r="AO313" s="81">
        <v>58105</v>
      </c>
      <c r="AR313" s="32" t="s">
        <v>134</v>
      </c>
      <c r="AS313" s="57">
        <v>244483</v>
      </c>
      <c r="AT313" s="57">
        <v>0</v>
      </c>
      <c r="AU313" s="57">
        <v>0</v>
      </c>
      <c r="AV313" s="57">
        <v>35458</v>
      </c>
      <c r="AW313" s="57">
        <v>25631</v>
      </c>
      <c r="AX313" s="33"/>
      <c r="AZ313" s="32" t="s">
        <v>475</v>
      </c>
      <c r="BA313" s="57">
        <v>244483</v>
      </c>
      <c r="BB313" s="57">
        <v>0</v>
      </c>
      <c r="BC313" s="57">
        <v>0</v>
      </c>
      <c r="BD313" s="57">
        <v>35458</v>
      </c>
      <c r="BE313" s="57">
        <v>25631</v>
      </c>
      <c r="BF313" s="50"/>
      <c r="BG313" s="43"/>
      <c r="BH313" s="32" t="s">
        <v>134</v>
      </c>
      <c r="BJ313" s="47">
        <f>236504.57</f>
        <v>236504.57</v>
      </c>
      <c r="BK313" s="46">
        <v>0</v>
      </c>
      <c r="BL313" s="46">
        <v>0</v>
      </c>
      <c r="BM313" s="46">
        <v>25631</v>
      </c>
      <c r="BN313" s="46">
        <v>27827</v>
      </c>
    </row>
    <row r="314" spans="1:66" ht="21">
      <c r="A314" s="15" t="s">
        <v>84</v>
      </c>
      <c r="B314" s="28"/>
      <c r="C314" s="29">
        <f t="shared" si="119"/>
        <v>395063</v>
      </c>
      <c r="D314" s="21">
        <f t="shared" si="120"/>
        <v>0</v>
      </c>
      <c r="E314" s="15">
        <f t="shared" si="132"/>
        <v>395063</v>
      </c>
      <c r="F314" s="15"/>
      <c r="G314" s="15">
        <f t="shared" si="121"/>
        <v>0</v>
      </c>
      <c r="H314" s="21">
        <f t="shared" si="122"/>
        <v>22440</v>
      </c>
      <c r="I314" s="15">
        <f t="shared" si="123"/>
        <v>11220</v>
      </c>
      <c r="J314" s="21">
        <f t="shared" si="124"/>
        <v>0</v>
      </c>
      <c r="K314" s="15">
        <f t="shared" si="125"/>
        <v>0</v>
      </c>
      <c r="L314" s="15">
        <f t="shared" si="126"/>
        <v>11220</v>
      </c>
      <c r="M314" s="15"/>
      <c r="N314" s="15">
        <f t="shared" si="127"/>
        <v>383843</v>
      </c>
      <c r="O314" s="15">
        <f t="shared" si="128"/>
        <v>344058.7</v>
      </c>
      <c r="P314" s="15"/>
      <c r="Q314" s="30" t="s">
        <v>44</v>
      </c>
      <c r="R314" s="15"/>
      <c r="S314" s="76">
        <f t="shared" si="129"/>
        <v>88002</v>
      </c>
      <c r="T314" s="15">
        <f t="shared" si="130"/>
        <v>8800</v>
      </c>
      <c r="U314" s="15">
        <f t="shared" si="131"/>
        <v>96802</v>
      </c>
      <c r="V314" s="15"/>
      <c r="W314" s="15" t="s">
        <v>84</v>
      </c>
      <c r="X314" s="15">
        <f t="shared" si="133"/>
        <v>88002</v>
      </c>
      <c r="Y314" s="15">
        <v>83050</v>
      </c>
      <c r="Z314" s="35">
        <v>77297</v>
      </c>
      <c r="AA314" s="35">
        <v>82465</v>
      </c>
      <c r="AB314" s="31">
        <v>84347</v>
      </c>
      <c r="AC314" s="15">
        <f t="shared" si="134"/>
        <v>-5168</v>
      </c>
      <c r="AE314" s="3">
        <v>1</v>
      </c>
      <c r="AF314" s="3" t="s">
        <v>84</v>
      </c>
      <c r="AG314" s="3">
        <v>82465</v>
      </c>
      <c r="AJ314" s="81" t="s">
        <v>555</v>
      </c>
      <c r="AK314" s="81">
        <v>395063</v>
      </c>
      <c r="AL314" s="81">
        <v>0</v>
      </c>
      <c r="AM314" s="81">
        <v>0</v>
      </c>
      <c r="AN314" s="81">
        <v>22440</v>
      </c>
      <c r="AO314" s="81">
        <v>0</v>
      </c>
      <c r="AR314" s="32" t="s">
        <v>84</v>
      </c>
      <c r="AS314" s="57">
        <v>435597</v>
      </c>
      <c r="AT314" s="57">
        <v>0</v>
      </c>
      <c r="AU314" s="57">
        <v>35736</v>
      </c>
      <c r="AV314" s="57">
        <v>22709</v>
      </c>
      <c r="AW314" s="57">
        <v>0</v>
      </c>
      <c r="AX314" s="33"/>
      <c r="AZ314" s="32" t="s">
        <v>476</v>
      </c>
      <c r="BA314" s="57">
        <v>435597</v>
      </c>
      <c r="BB314" s="57">
        <v>0</v>
      </c>
      <c r="BC314" s="57">
        <v>35736</v>
      </c>
      <c r="BD314" s="57">
        <v>22709</v>
      </c>
      <c r="BE314" s="57">
        <v>0</v>
      </c>
      <c r="BF314" s="50"/>
      <c r="BG314" s="43"/>
      <c r="BH314" s="32" t="s">
        <v>84</v>
      </c>
      <c r="BJ314" s="46">
        <v>357473.49</v>
      </c>
      <c r="BK314" s="46">
        <v>0</v>
      </c>
      <c r="BL314" s="46">
        <v>0</v>
      </c>
      <c r="BM314" s="46">
        <v>22329.96</v>
      </c>
      <c r="BN314" s="46">
        <v>0</v>
      </c>
    </row>
    <row r="315" spans="1:66" ht="21.75">
      <c r="A315" s="15" t="s">
        <v>237</v>
      </c>
      <c r="B315" s="62" t="s">
        <v>105</v>
      </c>
      <c r="C315" s="29">
        <f t="shared" si="119"/>
        <v>140199</v>
      </c>
      <c r="D315" s="21">
        <f t="shared" si="120"/>
        <v>0</v>
      </c>
      <c r="E315" s="15">
        <f t="shared" si="132"/>
        <v>140199</v>
      </c>
      <c r="F315" s="15"/>
      <c r="G315" s="15">
        <f t="shared" si="121"/>
        <v>0</v>
      </c>
      <c r="H315" s="21">
        <f t="shared" si="122"/>
        <v>19888</v>
      </c>
      <c r="I315" s="15">
        <f t="shared" si="123"/>
        <v>9944</v>
      </c>
      <c r="J315" s="21">
        <f t="shared" si="124"/>
        <v>0</v>
      </c>
      <c r="K315" s="15">
        <f t="shared" si="125"/>
        <v>0</v>
      </c>
      <c r="L315" s="15">
        <f t="shared" si="126"/>
        <v>9944</v>
      </c>
      <c r="M315" s="15"/>
      <c r="N315" s="15">
        <f t="shared" si="127"/>
        <v>130255</v>
      </c>
      <c r="O315" s="15">
        <f t="shared" si="128"/>
        <v>115829.5</v>
      </c>
      <c r="P315" s="15"/>
      <c r="Q315" s="30" t="s">
        <v>44</v>
      </c>
      <c r="R315" s="15"/>
      <c r="S315" s="76">
        <f t="shared" si="129"/>
        <v>29626</v>
      </c>
      <c r="T315" s="15">
        <f t="shared" si="130"/>
        <v>2963</v>
      </c>
      <c r="U315" s="15">
        <f t="shared" si="131"/>
        <v>32589</v>
      </c>
      <c r="V315" s="15"/>
      <c r="W315" s="15" t="s">
        <v>237</v>
      </c>
      <c r="X315" s="15">
        <f t="shared" si="133"/>
        <v>29626</v>
      </c>
      <c r="Y315" s="15">
        <v>27622</v>
      </c>
      <c r="Z315" s="35">
        <v>31317</v>
      </c>
      <c r="AA315" s="35">
        <v>28143</v>
      </c>
      <c r="AB315" s="31">
        <v>25802</v>
      </c>
      <c r="AC315" s="15">
        <f t="shared" si="134"/>
        <v>3174</v>
      </c>
      <c r="AE315" s="3">
        <v>1</v>
      </c>
      <c r="AF315" s="3" t="s">
        <v>237</v>
      </c>
      <c r="AG315" s="3">
        <v>28143</v>
      </c>
      <c r="AI315" s="39"/>
      <c r="AJ315" s="86"/>
      <c r="AK315" s="91">
        <f>AS315</f>
        <v>140199</v>
      </c>
      <c r="AL315" s="91">
        <f>AT315</f>
        <v>0</v>
      </c>
      <c r="AM315" s="91">
        <f>AU315</f>
        <v>0</v>
      </c>
      <c r="AN315" s="91">
        <f>AV315</f>
        <v>19888</v>
      </c>
      <c r="AO315" s="91">
        <f>AW315</f>
        <v>0</v>
      </c>
      <c r="AR315" s="32" t="s">
        <v>384</v>
      </c>
      <c r="AS315" s="57">
        <v>140199</v>
      </c>
      <c r="AT315" s="57">
        <v>0</v>
      </c>
      <c r="AU315" s="57">
        <v>0</v>
      </c>
      <c r="AV315" s="57">
        <v>19888</v>
      </c>
      <c r="AW315" s="57">
        <v>0</v>
      </c>
      <c r="AX315" s="43"/>
      <c r="AZ315" s="32" t="s">
        <v>465</v>
      </c>
      <c r="BA315" s="57">
        <v>140199</v>
      </c>
      <c r="BB315" s="57">
        <v>0</v>
      </c>
      <c r="BC315" s="57">
        <v>0</v>
      </c>
      <c r="BD315" s="57">
        <v>19888</v>
      </c>
      <c r="BE315" s="57">
        <v>0</v>
      </c>
      <c r="BF315" s="50"/>
      <c r="BG315" s="43"/>
      <c r="BH315" s="32" t="s">
        <v>384</v>
      </c>
      <c r="BJ315" s="43">
        <f>136876*1.1</f>
        <v>150563.6</v>
      </c>
      <c r="BK315" s="43">
        <v>0</v>
      </c>
      <c r="BL315" s="43">
        <v>0</v>
      </c>
      <c r="BM315" s="43">
        <f>18299*1.02</f>
        <v>18664.98</v>
      </c>
      <c r="BN315" s="43">
        <v>0</v>
      </c>
    </row>
    <row r="316" spans="1:66" ht="21">
      <c r="A316" s="15" t="s">
        <v>76</v>
      </c>
      <c r="B316" s="28"/>
      <c r="C316" s="29">
        <f t="shared" si="119"/>
        <v>320323</v>
      </c>
      <c r="D316" s="21">
        <f t="shared" si="120"/>
        <v>0</v>
      </c>
      <c r="E316" s="15">
        <f t="shared" si="132"/>
        <v>320323</v>
      </c>
      <c r="F316" s="15"/>
      <c r="G316" s="15">
        <f t="shared" si="121"/>
        <v>0</v>
      </c>
      <c r="H316" s="21">
        <f t="shared" si="122"/>
        <v>26761</v>
      </c>
      <c r="I316" s="15">
        <f t="shared" si="123"/>
        <v>13380.5</v>
      </c>
      <c r="J316" s="21">
        <f t="shared" si="124"/>
        <v>0</v>
      </c>
      <c r="K316" s="15">
        <f t="shared" si="125"/>
        <v>0</v>
      </c>
      <c r="L316" s="15">
        <f t="shared" si="126"/>
        <v>13380.5</v>
      </c>
      <c r="M316" s="15"/>
      <c r="N316" s="15">
        <f t="shared" si="127"/>
        <v>306942.5</v>
      </c>
      <c r="O316" s="15">
        <f t="shared" si="128"/>
        <v>274848.25</v>
      </c>
      <c r="P316" s="15"/>
      <c r="Q316" s="30" t="s">
        <v>44</v>
      </c>
      <c r="R316" s="15"/>
      <c r="S316" s="76">
        <f t="shared" si="129"/>
        <v>70300</v>
      </c>
      <c r="T316" s="15">
        <f t="shared" si="130"/>
        <v>7030</v>
      </c>
      <c r="U316" s="15">
        <f t="shared" si="131"/>
        <v>77330</v>
      </c>
      <c r="V316" s="15"/>
      <c r="W316" s="15" t="s">
        <v>76</v>
      </c>
      <c r="X316" s="15">
        <f t="shared" si="133"/>
        <v>70300</v>
      </c>
      <c r="Y316" s="15">
        <v>72685</v>
      </c>
      <c r="Z316" s="35">
        <v>69941</v>
      </c>
      <c r="AA316" s="35">
        <v>72190</v>
      </c>
      <c r="AB316" s="31">
        <v>73844</v>
      </c>
      <c r="AC316" s="15">
        <f t="shared" si="134"/>
        <v>-2249</v>
      </c>
      <c r="AE316" s="3">
        <v>1</v>
      </c>
      <c r="AF316" s="3" t="s">
        <v>76</v>
      </c>
      <c r="AG316" s="3">
        <v>72190</v>
      </c>
      <c r="AJ316" s="81" t="s">
        <v>556</v>
      </c>
      <c r="AK316" s="81">
        <v>320323</v>
      </c>
      <c r="AL316" s="81">
        <v>0</v>
      </c>
      <c r="AM316" s="81">
        <v>0</v>
      </c>
      <c r="AN316" s="81">
        <v>26761</v>
      </c>
      <c r="AO316" s="81">
        <v>0</v>
      </c>
      <c r="AR316" s="32" t="s">
        <v>76</v>
      </c>
      <c r="AS316" s="57">
        <v>356013</v>
      </c>
      <c r="AT316" s="57">
        <v>0</v>
      </c>
      <c r="AU316" s="57">
        <v>0</v>
      </c>
      <c r="AV316" s="57">
        <v>31596</v>
      </c>
      <c r="AW316" s="57">
        <v>0</v>
      </c>
      <c r="AX316" s="33"/>
      <c r="AZ316" s="32" t="s">
        <v>477</v>
      </c>
      <c r="BA316" s="57">
        <v>356013</v>
      </c>
      <c r="BB316" s="57">
        <v>0</v>
      </c>
      <c r="BC316" s="57">
        <v>0</v>
      </c>
      <c r="BD316" s="57">
        <v>31596</v>
      </c>
      <c r="BE316" s="57">
        <v>0</v>
      </c>
      <c r="BF316" s="50"/>
      <c r="BG316" s="43"/>
      <c r="BH316" s="32" t="s">
        <v>76</v>
      </c>
      <c r="BJ316" s="46">
        <v>326361</v>
      </c>
      <c r="BK316" s="46">
        <v>0</v>
      </c>
      <c r="BL316" s="46">
        <v>0</v>
      </c>
      <c r="BM316" s="46">
        <v>25723</v>
      </c>
      <c r="BN316" s="46">
        <v>0</v>
      </c>
    </row>
    <row r="317" spans="1:66" ht="21.75">
      <c r="A317" s="15" t="s">
        <v>77</v>
      </c>
      <c r="B317" s="62"/>
      <c r="C317" s="29">
        <f t="shared" si="119"/>
        <v>223977</v>
      </c>
      <c r="D317" s="21">
        <f t="shared" si="120"/>
        <v>0</v>
      </c>
      <c r="E317" s="15">
        <f t="shared" si="132"/>
        <v>223977</v>
      </c>
      <c r="F317" s="15"/>
      <c r="G317" s="15">
        <f t="shared" si="121"/>
        <v>0</v>
      </c>
      <c r="H317" s="21">
        <f t="shared" si="122"/>
        <v>29042</v>
      </c>
      <c r="I317" s="15">
        <f t="shared" si="123"/>
        <v>14521</v>
      </c>
      <c r="J317" s="21">
        <f t="shared" si="124"/>
        <v>14259</v>
      </c>
      <c r="K317" s="15">
        <f t="shared" si="125"/>
        <v>3564.75</v>
      </c>
      <c r="L317" s="15">
        <f t="shared" si="126"/>
        <v>18085.75</v>
      </c>
      <c r="M317" s="15"/>
      <c r="N317" s="15">
        <f t="shared" si="127"/>
        <v>205891.25</v>
      </c>
      <c r="O317" s="15">
        <f t="shared" si="128"/>
        <v>183902.125</v>
      </c>
      <c r="P317" s="15"/>
      <c r="Q317" s="30" t="s">
        <v>44</v>
      </c>
      <c r="R317" s="15"/>
      <c r="S317" s="76">
        <f t="shared" si="129"/>
        <v>47038</v>
      </c>
      <c r="T317" s="15">
        <f t="shared" si="130"/>
        <v>4704</v>
      </c>
      <c r="U317" s="15">
        <f t="shared" si="131"/>
        <v>51742</v>
      </c>
      <c r="V317" s="15"/>
      <c r="W317" s="15" t="s">
        <v>77</v>
      </c>
      <c r="X317" s="15">
        <f t="shared" si="133"/>
        <v>47038</v>
      </c>
      <c r="Y317" s="15">
        <v>42481</v>
      </c>
      <c r="Z317" s="35">
        <v>43650</v>
      </c>
      <c r="AA317" s="35">
        <v>49471</v>
      </c>
      <c r="AB317" s="31">
        <v>43855</v>
      </c>
      <c r="AC317" s="15">
        <f t="shared" si="134"/>
        <v>-5821</v>
      </c>
      <c r="AE317" s="3">
        <v>1</v>
      </c>
      <c r="AF317" s="3" t="s">
        <v>77</v>
      </c>
      <c r="AG317" s="3">
        <v>49471</v>
      </c>
      <c r="AJ317" s="92" t="s">
        <v>478</v>
      </c>
      <c r="AK317" s="93">
        <v>223977</v>
      </c>
      <c r="AL317" s="93">
        <f aca="true" t="shared" si="135" ref="AK317:AO318">AT317</f>
        <v>0</v>
      </c>
      <c r="AM317" s="93">
        <f t="shared" si="135"/>
        <v>0</v>
      </c>
      <c r="AN317" s="93">
        <v>29042</v>
      </c>
      <c r="AO317" s="93">
        <v>14259</v>
      </c>
      <c r="AR317" s="32" t="s">
        <v>77</v>
      </c>
      <c r="AS317" s="57">
        <v>226704</v>
      </c>
      <c r="AT317" s="57">
        <v>0</v>
      </c>
      <c r="AU317" s="57">
        <v>0</v>
      </c>
      <c r="AV317" s="57">
        <v>27814</v>
      </c>
      <c r="AW317" s="57">
        <v>53241</v>
      </c>
      <c r="AX317" s="33"/>
      <c r="AZ317" s="32" t="s">
        <v>478</v>
      </c>
      <c r="BA317" s="57">
        <v>226704</v>
      </c>
      <c r="BB317" s="57">
        <v>0</v>
      </c>
      <c r="BC317" s="57">
        <v>0</v>
      </c>
      <c r="BD317" s="57">
        <v>27814</v>
      </c>
      <c r="BE317" s="57">
        <v>53241</v>
      </c>
      <c r="BF317" s="50"/>
      <c r="BG317" s="43"/>
      <c r="BH317" s="32" t="s">
        <v>77</v>
      </c>
      <c r="BJ317" s="46">
        <v>214542</v>
      </c>
      <c r="BK317" s="46">
        <v>0</v>
      </c>
      <c r="BL317" s="46">
        <v>0</v>
      </c>
      <c r="BM317" s="46">
        <v>19478</v>
      </c>
      <c r="BN317" s="46">
        <v>34254</v>
      </c>
    </row>
    <row r="318" spans="1:66" ht="21.75">
      <c r="A318" s="15" t="s">
        <v>78</v>
      </c>
      <c r="B318" s="62" t="s">
        <v>105</v>
      </c>
      <c r="C318" s="29">
        <f t="shared" si="119"/>
        <v>138988.30000000002</v>
      </c>
      <c r="D318" s="21">
        <f t="shared" si="120"/>
        <v>897.248</v>
      </c>
      <c r="E318" s="15">
        <f t="shared" si="132"/>
        <v>139885.548</v>
      </c>
      <c r="F318" s="15"/>
      <c r="G318" s="15">
        <f t="shared" si="121"/>
        <v>0</v>
      </c>
      <c r="H318" s="21">
        <f t="shared" si="122"/>
        <v>21535.800000000003</v>
      </c>
      <c r="I318" s="15">
        <f t="shared" si="123"/>
        <v>10767.900000000001</v>
      </c>
      <c r="J318" s="21">
        <f t="shared" si="124"/>
        <v>0</v>
      </c>
      <c r="K318" s="15">
        <f t="shared" si="125"/>
        <v>0</v>
      </c>
      <c r="L318" s="15">
        <f t="shared" si="126"/>
        <v>10767.900000000001</v>
      </c>
      <c r="M318" s="15"/>
      <c r="N318" s="15">
        <f t="shared" si="127"/>
        <v>129117.64800000002</v>
      </c>
      <c r="O318" s="15">
        <f t="shared" si="128"/>
        <v>114805.88320000001</v>
      </c>
      <c r="P318" s="15"/>
      <c r="Q318" s="30" t="s">
        <v>44</v>
      </c>
      <c r="R318" s="15"/>
      <c r="S318" s="76">
        <f t="shared" si="129"/>
        <v>29365</v>
      </c>
      <c r="T318" s="15">
        <f t="shared" si="130"/>
        <v>2937</v>
      </c>
      <c r="U318" s="15">
        <f t="shared" si="131"/>
        <v>32302</v>
      </c>
      <c r="V318" s="15"/>
      <c r="W318" s="15" t="s">
        <v>78</v>
      </c>
      <c r="X318" s="15">
        <f t="shared" si="133"/>
        <v>29365</v>
      </c>
      <c r="Y318" s="15">
        <v>27378</v>
      </c>
      <c r="Z318" s="35">
        <v>25969</v>
      </c>
      <c r="AA318" s="35">
        <v>24760</v>
      </c>
      <c r="AB318" s="31">
        <v>22428</v>
      </c>
      <c r="AC318" s="15">
        <f t="shared" si="134"/>
        <v>1209</v>
      </c>
      <c r="AE318" s="3">
        <v>1</v>
      </c>
      <c r="AF318" s="3" t="s">
        <v>78</v>
      </c>
      <c r="AG318" s="3">
        <v>24760</v>
      </c>
      <c r="AJ318" s="86"/>
      <c r="AK318" s="91">
        <f t="shared" si="135"/>
        <v>138988.30000000002</v>
      </c>
      <c r="AL318" s="91">
        <f t="shared" si="135"/>
        <v>897.248</v>
      </c>
      <c r="AM318" s="91">
        <f t="shared" si="135"/>
        <v>0</v>
      </c>
      <c r="AN318" s="91">
        <f t="shared" si="135"/>
        <v>21535.800000000003</v>
      </c>
      <c r="AO318" s="91">
        <f t="shared" si="135"/>
        <v>0</v>
      </c>
      <c r="AR318" s="32" t="s">
        <v>256</v>
      </c>
      <c r="AS318" s="65">
        <f>126353*1.1</f>
        <v>138988.30000000002</v>
      </c>
      <c r="AT318" s="65">
        <f>815.68*1.1</f>
        <v>897.248</v>
      </c>
      <c r="AU318" s="65">
        <v>0</v>
      </c>
      <c r="AV318" s="65">
        <f>19578*1.1</f>
        <v>21535.800000000003</v>
      </c>
      <c r="AW318" s="65"/>
      <c r="AX318" s="33"/>
      <c r="AZ318" s="32"/>
      <c r="BA318" s="57"/>
      <c r="BB318" s="57"/>
      <c r="BC318" s="57"/>
      <c r="BD318" s="57"/>
      <c r="BE318" s="57"/>
      <c r="BF318" s="50"/>
      <c r="BG318" s="43"/>
      <c r="BH318" s="32" t="s">
        <v>256</v>
      </c>
      <c r="BJ318" s="46">
        <v>126353</v>
      </c>
      <c r="BK318" s="46">
        <v>815.68</v>
      </c>
      <c r="BL318" s="46">
        <v>0</v>
      </c>
      <c r="BM318" s="46">
        <v>19578</v>
      </c>
      <c r="BN318" s="46">
        <v>0</v>
      </c>
    </row>
    <row r="319" spans="1:66" ht="21">
      <c r="A319" s="15" t="s">
        <v>167</v>
      </c>
      <c r="B319" s="28"/>
      <c r="C319" s="29">
        <f t="shared" si="119"/>
        <v>55994</v>
      </c>
      <c r="D319" s="21">
        <f t="shared" si="120"/>
        <v>0</v>
      </c>
      <c r="E319" s="15">
        <f t="shared" si="132"/>
        <v>55994</v>
      </c>
      <c r="F319" s="15"/>
      <c r="G319" s="15">
        <f t="shared" si="121"/>
        <v>0</v>
      </c>
      <c r="H319" s="21">
        <f t="shared" si="122"/>
        <v>6723</v>
      </c>
      <c r="I319" s="15">
        <f t="shared" si="123"/>
        <v>3361.5</v>
      </c>
      <c r="J319" s="21">
        <f t="shared" si="124"/>
        <v>0</v>
      </c>
      <c r="K319" s="15">
        <f t="shared" si="125"/>
        <v>0</v>
      </c>
      <c r="L319" s="15">
        <f t="shared" si="126"/>
        <v>3361.5</v>
      </c>
      <c r="M319" s="15"/>
      <c r="N319" s="15">
        <f t="shared" si="127"/>
        <v>52632.5</v>
      </c>
      <c r="O319" s="15">
        <f t="shared" si="128"/>
        <v>45969.25</v>
      </c>
      <c r="P319" s="15"/>
      <c r="Q319" s="30" t="s">
        <v>44</v>
      </c>
      <c r="R319" s="15"/>
      <c r="S319" s="76">
        <f t="shared" si="129"/>
        <v>11758</v>
      </c>
      <c r="T319" s="15">
        <f t="shared" si="130"/>
        <v>1176</v>
      </c>
      <c r="U319" s="15">
        <f t="shared" si="131"/>
        <v>12934</v>
      </c>
      <c r="V319" s="15"/>
      <c r="W319" s="15" t="s">
        <v>167</v>
      </c>
      <c r="X319" s="15">
        <f t="shared" si="133"/>
        <v>11758</v>
      </c>
      <c r="Y319" s="15">
        <v>11465</v>
      </c>
      <c r="Z319" s="35">
        <v>10496</v>
      </c>
      <c r="AA319" s="35">
        <v>9914</v>
      </c>
      <c r="AB319" s="31">
        <v>7928</v>
      </c>
      <c r="AC319" s="15">
        <f t="shared" si="134"/>
        <v>582</v>
      </c>
      <c r="AE319" s="3">
        <v>1</v>
      </c>
      <c r="AF319" s="3" t="s">
        <v>167</v>
      </c>
      <c r="AG319" s="3">
        <v>9914</v>
      </c>
      <c r="AJ319" s="81" t="s">
        <v>554</v>
      </c>
      <c r="AK319" s="81">
        <v>55994</v>
      </c>
      <c r="AL319" s="81">
        <v>0</v>
      </c>
      <c r="AM319" s="81">
        <v>0</v>
      </c>
      <c r="AN319" s="81">
        <v>6723</v>
      </c>
      <c r="AO319" s="81">
        <v>0</v>
      </c>
      <c r="AR319" s="32" t="s">
        <v>167</v>
      </c>
      <c r="AS319" s="57">
        <v>54973.64</v>
      </c>
      <c r="AT319" s="57">
        <v>0</v>
      </c>
      <c r="AU319" s="57">
        <v>0</v>
      </c>
      <c r="AV319" s="57">
        <v>0</v>
      </c>
      <c r="AW319" s="57">
        <v>0</v>
      </c>
      <c r="AX319" s="33"/>
      <c r="AZ319" s="32" t="s">
        <v>479</v>
      </c>
      <c r="BA319" s="57">
        <v>54973.64</v>
      </c>
      <c r="BB319" s="57">
        <v>0</v>
      </c>
      <c r="BC319" s="57">
        <v>0</v>
      </c>
      <c r="BD319" s="57">
        <v>0</v>
      </c>
      <c r="BE319" s="57">
        <v>0</v>
      </c>
      <c r="BF319" s="50"/>
      <c r="BG319" s="43"/>
      <c r="BH319" s="32" t="s">
        <v>167</v>
      </c>
      <c r="BJ319" s="46">
        <v>48367.66</v>
      </c>
      <c r="BK319" s="46">
        <v>0</v>
      </c>
      <c r="BL319" s="46">
        <v>0</v>
      </c>
      <c r="BM319" s="46">
        <v>0</v>
      </c>
      <c r="BN319" s="46">
        <v>0</v>
      </c>
    </row>
    <row r="320" spans="1:66" ht="21">
      <c r="A320" s="15" t="s">
        <v>222</v>
      </c>
      <c r="B320" s="28"/>
      <c r="C320" s="29">
        <f t="shared" si="119"/>
        <v>112555</v>
      </c>
      <c r="D320" s="21">
        <f t="shared" si="120"/>
        <v>0</v>
      </c>
      <c r="E320" s="15">
        <f t="shared" si="132"/>
        <v>112555</v>
      </c>
      <c r="F320" s="15"/>
      <c r="G320" s="15">
        <f t="shared" si="121"/>
        <v>0</v>
      </c>
      <c r="H320" s="21">
        <f t="shared" si="122"/>
        <v>19854</v>
      </c>
      <c r="I320" s="15">
        <f t="shared" si="123"/>
        <v>9927</v>
      </c>
      <c r="J320" s="21">
        <f t="shared" si="124"/>
        <v>0</v>
      </c>
      <c r="K320" s="15">
        <f t="shared" si="125"/>
        <v>0</v>
      </c>
      <c r="L320" s="15">
        <f t="shared" si="126"/>
        <v>9927</v>
      </c>
      <c r="M320" s="15"/>
      <c r="N320" s="15">
        <f t="shared" si="127"/>
        <v>102628</v>
      </c>
      <c r="O320" s="15">
        <f t="shared" si="128"/>
        <v>90965.2</v>
      </c>
      <c r="P320" s="15"/>
      <c r="Q320" s="30" t="s">
        <v>44</v>
      </c>
      <c r="R320" s="15"/>
      <c r="S320" s="76">
        <f t="shared" si="129"/>
        <v>23267</v>
      </c>
      <c r="T320" s="15">
        <f t="shared" si="130"/>
        <v>2327</v>
      </c>
      <c r="U320" s="15">
        <f t="shared" si="131"/>
        <v>25594</v>
      </c>
      <c r="V320" s="15"/>
      <c r="W320" s="15" t="s">
        <v>222</v>
      </c>
      <c r="X320" s="15">
        <f t="shared" si="133"/>
        <v>23267</v>
      </c>
      <c r="Y320" s="15">
        <v>22047</v>
      </c>
      <c r="Z320" s="35">
        <v>22885</v>
      </c>
      <c r="AA320" s="35">
        <v>22623</v>
      </c>
      <c r="AB320" s="31">
        <v>21755</v>
      </c>
      <c r="AC320" s="15">
        <f t="shared" si="134"/>
        <v>262</v>
      </c>
      <c r="AE320" s="3">
        <v>1</v>
      </c>
      <c r="AF320" s="3" t="s">
        <v>222</v>
      </c>
      <c r="AG320" s="3">
        <v>22623</v>
      </c>
      <c r="AJ320" s="81" t="s">
        <v>548</v>
      </c>
      <c r="AK320" s="83">
        <v>112555</v>
      </c>
      <c r="AL320" s="81">
        <v>0</v>
      </c>
      <c r="AM320" s="81">
        <v>0</v>
      </c>
      <c r="AN320" s="84">
        <v>19854</v>
      </c>
      <c r="AO320" s="81">
        <v>0</v>
      </c>
      <c r="AR320" s="32" t="s">
        <v>257</v>
      </c>
      <c r="AS320" s="57">
        <v>113126</v>
      </c>
      <c r="AT320" s="57">
        <v>0</v>
      </c>
      <c r="AU320" s="57">
        <v>0</v>
      </c>
      <c r="AV320" s="57">
        <v>17697</v>
      </c>
      <c r="AW320" s="57">
        <v>0</v>
      </c>
      <c r="AX320" s="33"/>
      <c r="AZ320" s="32" t="s">
        <v>480</v>
      </c>
      <c r="BA320" s="57">
        <v>113126</v>
      </c>
      <c r="BB320" s="57">
        <v>0</v>
      </c>
      <c r="BC320" s="57">
        <v>0</v>
      </c>
      <c r="BD320" s="57">
        <v>17697</v>
      </c>
      <c r="BE320" s="57">
        <v>0</v>
      </c>
      <c r="BF320" s="50"/>
      <c r="BG320" s="43"/>
      <c r="BH320" s="32" t="s">
        <v>257</v>
      </c>
      <c r="BJ320" s="46">
        <v>113331</v>
      </c>
      <c r="BK320" s="46">
        <v>0</v>
      </c>
      <c r="BL320" s="46">
        <v>0</v>
      </c>
      <c r="BM320" s="46">
        <v>19410</v>
      </c>
      <c r="BN320" s="46">
        <v>0</v>
      </c>
    </row>
    <row r="321" spans="1:66" ht="21">
      <c r="A321" s="15" t="s">
        <v>85</v>
      </c>
      <c r="B321" s="28"/>
      <c r="C321" s="29">
        <f t="shared" si="119"/>
        <v>181000</v>
      </c>
      <c r="D321" s="21">
        <f t="shared" si="120"/>
        <v>0</v>
      </c>
      <c r="E321" s="15">
        <f t="shared" si="132"/>
        <v>181000</v>
      </c>
      <c r="F321" s="15"/>
      <c r="G321" s="15">
        <f t="shared" si="121"/>
        <v>0</v>
      </c>
      <c r="H321" s="21">
        <f t="shared" si="122"/>
        <v>26000</v>
      </c>
      <c r="I321" s="15">
        <f t="shared" si="123"/>
        <v>13000</v>
      </c>
      <c r="J321" s="21">
        <f t="shared" si="124"/>
        <v>0</v>
      </c>
      <c r="K321" s="15">
        <f t="shared" si="125"/>
        <v>0</v>
      </c>
      <c r="L321" s="15">
        <f t="shared" si="126"/>
        <v>13000</v>
      </c>
      <c r="M321" s="15"/>
      <c r="N321" s="15">
        <f t="shared" si="127"/>
        <v>168000</v>
      </c>
      <c r="O321" s="15">
        <f t="shared" si="128"/>
        <v>149800</v>
      </c>
      <c r="P321" s="15"/>
      <c r="Q321" s="30" t="s">
        <v>44</v>
      </c>
      <c r="R321" s="15"/>
      <c r="S321" s="76">
        <f t="shared" si="129"/>
        <v>38315</v>
      </c>
      <c r="T321" s="15">
        <f t="shared" si="130"/>
        <v>3832</v>
      </c>
      <c r="U321" s="15">
        <f t="shared" si="131"/>
        <v>42147</v>
      </c>
      <c r="V321" s="15"/>
      <c r="W321" s="15" t="s">
        <v>85</v>
      </c>
      <c r="X321" s="15">
        <f t="shared" si="133"/>
        <v>38315</v>
      </c>
      <c r="Y321" s="15">
        <v>37966</v>
      </c>
      <c r="Z321" s="35">
        <v>38127</v>
      </c>
      <c r="AA321" s="35">
        <v>38985</v>
      </c>
      <c r="AB321" s="31">
        <v>37016</v>
      </c>
      <c r="AC321" s="15">
        <f t="shared" si="134"/>
        <v>-858</v>
      </c>
      <c r="AE321" s="3">
        <v>1</v>
      </c>
      <c r="AF321" s="3" t="s">
        <v>85</v>
      </c>
      <c r="AG321" s="3">
        <v>38985</v>
      </c>
      <c r="AJ321" s="81" t="s">
        <v>549</v>
      </c>
      <c r="AK321" s="83">
        <v>181000</v>
      </c>
      <c r="AL321" s="81">
        <v>0</v>
      </c>
      <c r="AN321" s="83">
        <v>26000</v>
      </c>
      <c r="AR321" s="32" t="s">
        <v>85</v>
      </c>
      <c r="AS321" s="57">
        <v>191119.62</v>
      </c>
      <c r="AT321" s="57">
        <v>0</v>
      </c>
      <c r="AU321" s="57">
        <v>0</v>
      </c>
      <c r="AV321" s="57">
        <v>25341.96</v>
      </c>
      <c r="AW321" s="57"/>
      <c r="AX321" s="33"/>
      <c r="AZ321" s="32" t="s">
        <v>481</v>
      </c>
      <c r="BA321" s="57">
        <v>191119.62</v>
      </c>
      <c r="BB321" s="57">
        <v>0</v>
      </c>
      <c r="BC321" s="57">
        <v>0</v>
      </c>
      <c r="BD321" s="57">
        <v>25341.96</v>
      </c>
      <c r="BE321" s="57"/>
      <c r="BF321" s="50"/>
      <c r="BG321" s="43"/>
      <c r="BH321" s="32" t="s">
        <v>85</v>
      </c>
      <c r="BJ321" s="46">
        <v>184081.46</v>
      </c>
      <c r="BK321" s="46">
        <v>0</v>
      </c>
      <c r="BL321" s="46">
        <v>0</v>
      </c>
      <c r="BM321" s="46">
        <v>24950.97</v>
      </c>
      <c r="BN321" s="46">
        <v>0</v>
      </c>
    </row>
    <row r="322" spans="1:66" ht="21.75">
      <c r="A322" s="15" t="s">
        <v>79</v>
      </c>
      <c r="B322" s="34"/>
      <c r="C322" s="29">
        <f t="shared" si="119"/>
        <v>581522.23</v>
      </c>
      <c r="D322" s="21">
        <f t="shared" si="120"/>
        <v>0</v>
      </c>
      <c r="E322" s="15">
        <f t="shared" si="132"/>
        <v>581522.23</v>
      </c>
      <c r="F322" s="15"/>
      <c r="G322" s="15">
        <f t="shared" si="121"/>
        <v>0</v>
      </c>
      <c r="H322" s="21">
        <f t="shared" si="122"/>
        <v>28005.28</v>
      </c>
      <c r="I322" s="15">
        <f t="shared" si="123"/>
        <v>14002.64</v>
      </c>
      <c r="J322" s="21">
        <f t="shared" si="124"/>
        <v>0</v>
      </c>
      <c r="K322" s="15">
        <f t="shared" si="125"/>
        <v>0</v>
      </c>
      <c r="L322" s="15">
        <f t="shared" si="126"/>
        <v>14002.64</v>
      </c>
      <c r="M322" s="15"/>
      <c r="N322" s="15">
        <f t="shared" si="127"/>
        <v>567519.59</v>
      </c>
      <c r="O322" s="15">
        <f t="shared" si="128"/>
        <v>509367.631</v>
      </c>
      <c r="P322" s="15"/>
      <c r="Q322" s="30" t="s">
        <v>44</v>
      </c>
      <c r="R322" s="15"/>
      <c r="S322" s="76">
        <f t="shared" si="129"/>
        <v>130284</v>
      </c>
      <c r="T322" s="15">
        <f t="shared" si="130"/>
        <v>13028</v>
      </c>
      <c r="U322" s="15">
        <f t="shared" si="131"/>
        <v>143312</v>
      </c>
      <c r="V322" s="15"/>
      <c r="W322" s="15" t="s">
        <v>79</v>
      </c>
      <c r="X322" s="15">
        <f t="shared" si="133"/>
        <v>130284</v>
      </c>
      <c r="Y322" s="15">
        <v>133494</v>
      </c>
      <c r="Z322" s="35">
        <v>133619</v>
      </c>
      <c r="AA322" s="35">
        <v>130844</v>
      </c>
      <c r="AB322" s="31">
        <v>136761</v>
      </c>
      <c r="AC322" s="15">
        <f t="shared" si="134"/>
        <v>2775</v>
      </c>
      <c r="AE322" s="3">
        <v>1</v>
      </c>
      <c r="AF322" s="3" t="s">
        <v>79</v>
      </c>
      <c r="AG322" s="3">
        <v>130844</v>
      </c>
      <c r="AJ322" s="81" t="s">
        <v>464</v>
      </c>
      <c r="AK322" s="81">
        <v>581522.23</v>
      </c>
      <c r="AL322" s="81">
        <v>0</v>
      </c>
      <c r="AM322" s="81">
        <v>0</v>
      </c>
      <c r="AN322" s="81">
        <v>28005.28</v>
      </c>
      <c r="AO322" s="81">
        <v>0</v>
      </c>
      <c r="AR322" s="32" t="s">
        <v>79</v>
      </c>
      <c r="AS322" s="57">
        <v>639083</v>
      </c>
      <c r="AT322" s="57">
        <v>0</v>
      </c>
      <c r="AU322" s="57">
        <v>0</v>
      </c>
      <c r="AV322" s="57">
        <v>31086</v>
      </c>
      <c r="AW322" s="57">
        <v>0</v>
      </c>
      <c r="AX322" s="33"/>
      <c r="AZ322" s="32" t="s">
        <v>464</v>
      </c>
      <c r="BA322" s="57">
        <v>639083</v>
      </c>
      <c r="BB322" s="57">
        <v>0</v>
      </c>
      <c r="BC322" s="57">
        <v>0</v>
      </c>
      <c r="BD322" s="57">
        <v>31086</v>
      </c>
      <c r="BE322" s="57">
        <v>0</v>
      </c>
      <c r="BF322" s="50"/>
      <c r="BG322" s="43"/>
      <c r="BH322" s="32" t="s">
        <v>79</v>
      </c>
      <c r="BJ322" s="46">
        <v>613916.09</v>
      </c>
      <c r="BK322" s="46">
        <v>0</v>
      </c>
      <c r="BL322" s="46">
        <v>0</v>
      </c>
      <c r="BM322" s="46">
        <v>32807.16</v>
      </c>
      <c r="BN322" s="46">
        <v>0</v>
      </c>
    </row>
    <row r="323" spans="1:66" ht="21">
      <c r="A323" s="15" t="s">
        <v>249</v>
      </c>
      <c r="B323" s="28"/>
      <c r="C323" s="29">
        <f t="shared" si="119"/>
        <v>136497</v>
      </c>
      <c r="D323" s="21">
        <f t="shared" si="120"/>
        <v>0</v>
      </c>
      <c r="E323" s="15">
        <f t="shared" si="132"/>
        <v>136497</v>
      </c>
      <c r="F323" s="15"/>
      <c r="G323" s="15">
        <f t="shared" si="121"/>
        <v>0</v>
      </c>
      <c r="H323" s="21">
        <f t="shared" si="122"/>
        <v>23037</v>
      </c>
      <c r="I323" s="15">
        <f t="shared" si="123"/>
        <v>11518.5</v>
      </c>
      <c r="J323" s="21">
        <f t="shared" si="124"/>
        <v>0</v>
      </c>
      <c r="K323" s="15">
        <f t="shared" si="125"/>
        <v>0</v>
      </c>
      <c r="L323" s="15">
        <f t="shared" si="126"/>
        <v>11518.5</v>
      </c>
      <c r="M323" s="15"/>
      <c r="N323" s="15">
        <f t="shared" si="127"/>
        <v>124978.5</v>
      </c>
      <c r="O323" s="15">
        <f t="shared" si="128"/>
        <v>111080.65000000001</v>
      </c>
      <c r="P323" s="15"/>
      <c r="Q323" s="30" t="s">
        <v>44</v>
      </c>
      <c r="R323" s="15"/>
      <c r="S323" s="76">
        <f t="shared" si="129"/>
        <v>28412</v>
      </c>
      <c r="T323" s="15">
        <f t="shared" si="130"/>
        <v>2841</v>
      </c>
      <c r="U323" s="15">
        <f t="shared" si="131"/>
        <v>31253</v>
      </c>
      <c r="V323" s="15"/>
      <c r="W323" s="15" t="s">
        <v>249</v>
      </c>
      <c r="X323" s="15">
        <f t="shared" si="133"/>
        <v>28412</v>
      </c>
      <c r="Y323" s="15">
        <v>30594</v>
      </c>
      <c r="Z323" s="35">
        <v>29151</v>
      </c>
      <c r="AA323" s="35">
        <v>33578</v>
      </c>
      <c r="AB323" s="31">
        <v>37093</v>
      </c>
      <c r="AC323" s="15">
        <f t="shared" si="134"/>
        <v>-4427</v>
      </c>
      <c r="AE323" s="3">
        <v>1</v>
      </c>
      <c r="AF323" s="3" t="s">
        <v>249</v>
      </c>
      <c r="AG323" s="3">
        <v>33578</v>
      </c>
      <c r="AJ323" s="81" t="s">
        <v>557</v>
      </c>
      <c r="AK323" s="81">
        <v>136497</v>
      </c>
      <c r="AL323" s="81">
        <v>0</v>
      </c>
      <c r="AM323" s="81">
        <v>0</v>
      </c>
      <c r="AN323" s="81">
        <v>23037</v>
      </c>
      <c r="AO323" s="81">
        <v>0</v>
      </c>
      <c r="AR323" s="32" t="s">
        <v>258</v>
      </c>
      <c r="AS323" s="57">
        <v>155396</v>
      </c>
      <c r="AT323" s="57">
        <v>0</v>
      </c>
      <c r="AU323" s="57">
        <v>0</v>
      </c>
      <c r="AV323" s="57">
        <v>22590</v>
      </c>
      <c r="AW323" s="57">
        <v>0</v>
      </c>
      <c r="AX323" s="33"/>
      <c r="AZ323" s="32" t="s">
        <v>471</v>
      </c>
      <c r="BA323" s="57">
        <v>155396</v>
      </c>
      <c r="BB323" s="57">
        <v>0</v>
      </c>
      <c r="BC323" s="57">
        <v>0</v>
      </c>
      <c r="BD323" s="57">
        <v>22590</v>
      </c>
      <c r="BE323" s="57">
        <v>0</v>
      </c>
      <c r="BF323" s="50"/>
      <c r="BG323" s="43"/>
      <c r="BH323" s="32" t="s">
        <v>258</v>
      </c>
      <c r="BJ323" s="46">
        <v>139541</v>
      </c>
      <c r="BK323" s="46">
        <v>0</v>
      </c>
      <c r="BL323" s="46">
        <v>0</v>
      </c>
      <c r="BM323" s="46">
        <v>15942</v>
      </c>
      <c r="BN323" s="46">
        <v>0</v>
      </c>
    </row>
    <row r="324" spans="1:66" ht="21">
      <c r="A324" s="15" t="s">
        <v>131</v>
      </c>
      <c r="B324" s="28"/>
      <c r="C324" s="29">
        <f t="shared" si="119"/>
        <v>36685</v>
      </c>
      <c r="D324" s="21">
        <f t="shared" si="120"/>
        <v>0</v>
      </c>
      <c r="E324" s="15">
        <f t="shared" si="132"/>
        <v>36685</v>
      </c>
      <c r="F324" s="15"/>
      <c r="G324" s="15">
        <f t="shared" si="121"/>
        <v>0</v>
      </c>
      <c r="H324" s="21">
        <f t="shared" si="122"/>
        <v>5000</v>
      </c>
      <c r="I324" s="15">
        <f t="shared" si="123"/>
        <v>2500</v>
      </c>
      <c r="J324" s="21">
        <f t="shared" si="124"/>
        <v>0</v>
      </c>
      <c r="K324" s="15">
        <f t="shared" si="125"/>
        <v>0</v>
      </c>
      <c r="L324" s="15">
        <f t="shared" si="126"/>
        <v>2500</v>
      </c>
      <c r="M324" s="15"/>
      <c r="N324" s="15">
        <f t="shared" si="127"/>
        <v>34185</v>
      </c>
      <c r="O324" s="15">
        <f t="shared" si="128"/>
        <v>29366.5</v>
      </c>
      <c r="P324" s="15"/>
      <c r="Q324" s="30" t="s">
        <v>44</v>
      </c>
      <c r="R324" s="15"/>
      <c r="S324" s="76">
        <f t="shared" si="129"/>
        <v>7511</v>
      </c>
      <c r="T324" s="15">
        <f t="shared" si="130"/>
        <v>751</v>
      </c>
      <c r="U324" s="15">
        <f t="shared" si="131"/>
        <v>8262</v>
      </c>
      <c r="V324" s="15"/>
      <c r="W324" s="15" t="s">
        <v>131</v>
      </c>
      <c r="X324" s="15">
        <f t="shared" si="133"/>
        <v>7511</v>
      </c>
      <c r="Y324" s="15">
        <v>7380</v>
      </c>
      <c r="Z324" s="35">
        <v>7580</v>
      </c>
      <c r="AA324" s="35">
        <v>7761</v>
      </c>
      <c r="AB324" s="31">
        <v>6508</v>
      </c>
      <c r="AC324" s="15">
        <f t="shared" si="134"/>
        <v>-181</v>
      </c>
      <c r="AE324" s="3">
        <v>1</v>
      </c>
      <c r="AF324" s="3" t="s">
        <v>131</v>
      </c>
      <c r="AG324" s="3">
        <v>7761</v>
      </c>
      <c r="AJ324" s="81" t="s">
        <v>552</v>
      </c>
      <c r="AK324" s="84">
        <v>36685</v>
      </c>
      <c r="AN324" s="84">
        <v>5000</v>
      </c>
      <c r="AR324" s="32" t="s">
        <v>131</v>
      </c>
      <c r="AS324" s="57">
        <v>38354</v>
      </c>
      <c r="AT324" s="57">
        <v>0</v>
      </c>
      <c r="AU324" s="57">
        <v>0</v>
      </c>
      <c r="AV324" s="57">
        <v>4830</v>
      </c>
      <c r="AW324" s="57">
        <v>0</v>
      </c>
      <c r="AX324" s="33"/>
      <c r="AZ324" s="32" t="s">
        <v>470</v>
      </c>
      <c r="BA324" s="57">
        <v>38354</v>
      </c>
      <c r="BB324" s="57">
        <v>0</v>
      </c>
      <c r="BC324" s="57">
        <v>0</v>
      </c>
      <c r="BD324" s="57">
        <v>4830</v>
      </c>
      <c r="BE324" s="57">
        <v>0</v>
      </c>
      <c r="BF324" s="50"/>
      <c r="BH324" s="32" t="s">
        <v>131</v>
      </c>
      <c r="BJ324" s="46">
        <v>37730</v>
      </c>
      <c r="BK324" s="46">
        <v>0</v>
      </c>
      <c r="BL324" s="46">
        <v>0</v>
      </c>
      <c r="BM324" s="46">
        <v>4736</v>
      </c>
      <c r="BN324" s="46">
        <v>0</v>
      </c>
    </row>
    <row r="325" spans="1:66" ht="21">
      <c r="A325" s="15" t="s">
        <v>86</v>
      </c>
      <c r="B325" s="28"/>
      <c r="C325" s="29">
        <f t="shared" si="119"/>
        <v>0</v>
      </c>
      <c r="D325" s="21">
        <f t="shared" si="120"/>
        <v>0</v>
      </c>
      <c r="E325" s="15">
        <f t="shared" si="132"/>
        <v>0</v>
      </c>
      <c r="F325" s="15"/>
      <c r="G325" s="15">
        <f t="shared" si="121"/>
        <v>0</v>
      </c>
      <c r="H325" s="21">
        <f t="shared" si="122"/>
        <v>0</v>
      </c>
      <c r="I325" s="15">
        <f t="shared" si="123"/>
        <v>0</v>
      </c>
      <c r="J325" s="21">
        <f t="shared" si="124"/>
        <v>0</v>
      </c>
      <c r="K325" s="15">
        <f t="shared" si="125"/>
        <v>0</v>
      </c>
      <c r="L325" s="15">
        <f t="shared" si="126"/>
        <v>0</v>
      </c>
      <c r="M325" s="15"/>
      <c r="N325" s="15">
        <f t="shared" si="127"/>
        <v>0</v>
      </c>
      <c r="O325" s="15">
        <f t="shared" si="128"/>
        <v>0</v>
      </c>
      <c r="P325" s="15"/>
      <c r="Q325" s="30" t="s">
        <v>44</v>
      </c>
      <c r="R325" s="15"/>
      <c r="S325" s="76">
        <f t="shared" si="129"/>
        <v>0</v>
      </c>
      <c r="T325" s="15">
        <f t="shared" si="130"/>
        <v>0</v>
      </c>
      <c r="U325" s="15">
        <f t="shared" si="131"/>
        <v>0</v>
      </c>
      <c r="V325" s="15"/>
      <c r="W325" s="15" t="s">
        <v>86</v>
      </c>
      <c r="X325" s="15">
        <f t="shared" si="133"/>
        <v>0</v>
      </c>
      <c r="Y325" s="15">
        <v>11329</v>
      </c>
      <c r="Z325" s="35">
        <v>10223</v>
      </c>
      <c r="AA325" s="35">
        <v>10301</v>
      </c>
      <c r="AB325" s="35">
        <v>10618</v>
      </c>
      <c r="AC325" s="15">
        <f t="shared" si="134"/>
        <v>-78</v>
      </c>
      <c r="AE325" s="3">
        <v>1</v>
      </c>
      <c r="AF325" s="3" t="s">
        <v>86</v>
      </c>
      <c r="AG325" s="3">
        <v>10301</v>
      </c>
      <c r="AR325" s="32" t="s">
        <v>259</v>
      </c>
      <c r="AS325" s="57">
        <v>56812</v>
      </c>
      <c r="AT325" s="57">
        <v>0</v>
      </c>
      <c r="AU325" s="57">
        <v>0</v>
      </c>
      <c r="AV325" s="57">
        <v>4944</v>
      </c>
      <c r="AW325" s="57">
        <v>0</v>
      </c>
      <c r="AX325" s="33"/>
      <c r="AZ325" s="32" t="s">
        <v>466</v>
      </c>
      <c r="BA325" s="57">
        <v>56812</v>
      </c>
      <c r="BB325" s="57">
        <v>0</v>
      </c>
      <c r="BC325" s="57">
        <v>0</v>
      </c>
      <c r="BD325" s="57">
        <v>4944</v>
      </c>
      <c r="BE325" s="57">
        <v>0</v>
      </c>
      <c r="BF325" s="50"/>
      <c r="BH325" s="32" t="s">
        <v>259</v>
      </c>
      <c r="BJ325" s="46">
        <v>48594.67</v>
      </c>
      <c r="BK325" s="46">
        <v>0</v>
      </c>
      <c r="BL325" s="46">
        <v>0</v>
      </c>
      <c r="BM325" s="46">
        <v>2884</v>
      </c>
      <c r="BN325" s="46">
        <v>0</v>
      </c>
    </row>
    <row r="326" spans="1:33" ht="21">
      <c r="A326" s="19" t="s">
        <v>3</v>
      </c>
      <c r="B326" s="15"/>
      <c r="C326" s="19" t="s">
        <v>3</v>
      </c>
      <c r="D326" s="19" t="s">
        <v>3</v>
      </c>
      <c r="E326" s="19" t="s">
        <v>3</v>
      </c>
      <c r="F326" s="15"/>
      <c r="G326" s="19" t="s">
        <v>3</v>
      </c>
      <c r="H326" s="19" t="s">
        <v>3</v>
      </c>
      <c r="I326" s="19" t="s">
        <v>3</v>
      </c>
      <c r="J326" s="19" t="s">
        <v>3</v>
      </c>
      <c r="K326" s="19" t="s">
        <v>3</v>
      </c>
      <c r="L326" s="19" t="s">
        <v>3</v>
      </c>
      <c r="M326" s="15"/>
      <c r="N326" s="19" t="s">
        <v>3</v>
      </c>
      <c r="O326" s="19" t="s">
        <v>3</v>
      </c>
      <c r="P326" s="15"/>
      <c r="Q326" s="15"/>
      <c r="R326" s="15"/>
      <c r="S326" s="78" t="s">
        <v>3</v>
      </c>
      <c r="T326" s="19" t="s">
        <v>3</v>
      </c>
      <c r="U326" s="19" t="s">
        <v>3</v>
      </c>
      <c r="V326" s="15"/>
      <c r="AC326" s="1"/>
      <c r="AD326" s="1"/>
      <c r="AE326" s="1"/>
      <c r="AF326" s="1"/>
      <c r="AG326" s="1"/>
    </row>
    <row r="327" spans="1:41" ht="21">
      <c r="A327" s="15" t="s">
        <v>48</v>
      </c>
      <c r="B327" s="15"/>
      <c r="C327" s="15">
        <f aca="true" t="shared" si="136" ref="C327:O327">SUM(C305:C326)</f>
        <v>3466541.65</v>
      </c>
      <c r="D327" s="15">
        <f t="shared" si="136"/>
        <v>897.248</v>
      </c>
      <c r="E327" s="15">
        <f t="shared" si="136"/>
        <v>3467438.898</v>
      </c>
      <c r="F327" s="15">
        <f t="shared" si="136"/>
        <v>0</v>
      </c>
      <c r="G327" s="15">
        <f t="shared" si="136"/>
        <v>0</v>
      </c>
      <c r="H327" s="15">
        <f t="shared" si="136"/>
        <v>328802</v>
      </c>
      <c r="I327" s="15">
        <f t="shared" si="136"/>
        <v>164401</v>
      </c>
      <c r="J327" s="15">
        <f t="shared" si="136"/>
        <v>98612.88</v>
      </c>
      <c r="K327" s="15">
        <f t="shared" si="136"/>
        <v>24653.22</v>
      </c>
      <c r="L327" s="15">
        <f t="shared" si="136"/>
        <v>189054.21999999997</v>
      </c>
      <c r="M327" s="15">
        <f t="shared" si="136"/>
        <v>0</v>
      </c>
      <c r="N327" s="15">
        <f t="shared" si="136"/>
        <v>3278384.678</v>
      </c>
      <c r="O327" s="15">
        <f t="shared" si="136"/>
        <v>2923946.2102</v>
      </c>
      <c r="P327" s="15"/>
      <c r="Q327" s="18" t="s">
        <v>49</v>
      </c>
      <c r="R327" s="15"/>
      <c r="S327" s="76">
        <f>SUM(S305:S326)</f>
        <v>747877</v>
      </c>
      <c r="T327" s="15">
        <f>SUM(T305:T326)</f>
        <v>74790</v>
      </c>
      <c r="U327" s="15">
        <f>SUM(U305:U326)</f>
        <v>822667</v>
      </c>
      <c r="V327" s="15"/>
      <c r="W327" s="15"/>
      <c r="X327" s="15">
        <f>SUM(X306:X326)</f>
        <v>747877</v>
      </c>
      <c r="Y327" s="15">
        <f>SUM(Y306:Y326)</f>
        <v>757740</v>
      </c>
      <c r="Z327" s="15">
        <f>SUM(Z306:Z326)</f>
        <v>762932</v>
      </c>
      <c r="AA327" s="15">
        <f>SUM(AA306:AA326)</f>
        <v>761894</v>
      </c>
      <c r="AB327" s="15">
        <f>SUM(AB306:AB326)</f>
        <v>750256</v>
      </c>
      <c r="AC327" s="15">
        <f t="shared" si="134"/>
        <v>1038</v>
      </c>
      <c r="AD327" s="1"/>
      <c r="AE327" s="1"/>
      <c r="AF327" s="1"/>
      <c r="AG327" s="1"/>
      <c r="AJ327" s="81"/>
      <c r="AK327" s="81"/>
      <c r="AL327" s="81"/>
      <c r="AM327" s="81"/>
      <c r="AN327" s="81"/>
      <c r="AO327" s="81"/>
    </row>
    <row r="328" spans="1:41" ht="21">
      <c r="A328" s="19" t="s">
        <v>3</v>
      </c>
      <c r="B328" s="15"/>
      <c r="C328" s="19" t="s">
        <v>3</v>
      </c>
      <c r="D328" s="19" t="s">
        <v>3</v>
      </c>
      <c r="E328" s="19" t="s">
        <v>3</v>
      </c>
      <c r="F328" s="15"/>
      <c r="G328" s="19" t="s">
        <v>3</v>
      </c>
      <c r="H328" s="19" t="s">
        <v>3</v>
      </c>
      <c r="I328" s="19" t="s">
        <v>3</v>
      </c>
      <c r="J328" s="19" t="s">
        <v>3</v>
      </c>
      <c r="K328" s="19" t="s">
        <v>3</v>
      </c>
      <c r="L328" s="19" t="s">
        <v>3</v>
      </c>
      <c r="M328" s="15"/>
      <c r="N328" s="19" t="s">
        <v>3</v>
      </c>
      <c r="O328" s="19" t="s">
        <v>3</v>
      </c>
      <c r="P328" s="15"/>
      <c r="Q328" s="15"/>
      <c r="R328" s="15"/>
      <c r="S328" s="78" t="s">
        <v>3</v>
      </c>
      <c r="T328" s="19" t="s">
        <v>3</v>
      </c>
      <c r="U328" s="19" t="s">
        <v>3</v>
      </c>
      <c r="V328" s="15"/>
      <c r="W328" s="35"/>
      <c r="X328" s="35"/>
      <c r="Y328" s="35"/>
      <c r="AB328" s="38"/>
      <c r="AC328" s="1"/>
      <c r="AD328" s="1"/>
      <c r="AE328" s="1"/>
      <c r="AF328" s="1"/>
      <c r="AG328" s="1"/>
      <c r="AJ328" s="81"/>
      <c r="AK328" s="83"/>
      <c r="AL328" s="81"/>
      <c r="AM328" s="81"/>
      <c r="AN328" s="83"/>
      <c r="AO328" s="81"/>
    </row>
    <row r="329" spans="1:58" ht="2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79"/>
      <c r="T329" s="35"/>
      <c r="U329" s="35"/>
      <c r="V329" s="35"/>
      <c r="W329" s="15"/>
      <c r="X329" s="15"/>
      <c r="Y329" s="15"/>
      <c r="Z329" s="1"/>
      <c r="AA329" s="1"/>
      <c r="AB329" s="38"/>
      <c r="AJ329" s="81"/>
      <c r="AK329" s="81"/>
      <c r="AL329" s="81"/>
      <c r="AM329" s="81"/>
      <c r="AN329" s="81"/>
      <c r="AO329" s="81"/>
      <c r="AS329" s="57"/>
      <c r="AT329" s="57"/>
      <c r="AU329" s="57"/>
      <c r="AV329" s="57"/>
      <c r="AW329" s="57"/>
      <c r="AZ329" s="32"/>
      <c r="BA329" s="57">
        <f>17729*2</f>
        <v>35458</v>
      </c>
      <c r="BB329" s="57"/>
      <c r="BC329" s="57"/>
      <c r="BD329" s="57"/>
      <c r="BE329" s="57"/>
      <c r="BF329" s="50"/>
    </row>
    <row r="330" spans="1:58" ht="21">
      <c r="A330" s="15" t="s">
        <v>61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76"/>
      <c r="T330" s="15"/>
      <c r="U330" s="15"/>
      <c r="V330" s="15"/>
      <c r="W330" s="15"/>
      <c r="X330" s="15"/>
      <c r="Y330" s="15"/>
      <c r="Z330" s="1"/>
      <c r="AA330" s="1"/>
      <c r="AB330" s="38"/>
      <c r="AC330" s="1"/>
      <c r="AD330" s="1"/>
      <c r="AE330" s="1"/>
      <c r="AF330" s="1"/>
      <c r="AG330" s="1"/>
      <c r="AJ330" s="81"/>
      <c r="AK330" s="81"/>
      <c r="AL330" s="81"/>
      <c r="AM330" s="81"/>
      <c r="AN330" s="81"/>
      <c r="AO330" s="81"/>
      <c r="AS330" s="57"/>
      <c r="AT330" s="57"/>
      <c r="AU330" s="57"/>
      <c r="AV330" s="57"/>
      <c r="AW330" s="57"/>
      <c r="AZ330" s="32"/>
      <c r="BA330" s="57"/>
      <c r="BB330" s="57"/>
      <c r="BC330" s="57"/>
      <c r="BD330" s="57"/>
      <c r="BE330" s="57"/>
      <c r="BF330" s="50"/>
    </row>
    <row r="331" spans="1:58" ht="21">
      <c r="A331" s="15" t="s">
        <v>187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76"/>
      <c r="T331" s="15"/>
      <c r="U331" s="15"/>
      <c r="V331" s="15"/>
      <c r="W331" s="15"/>
      <c r="X331" s="15"/>
      <c r="Y331" s="15"/>
      <c r="Z331" s="1"/>
      <c r="AA331" s="1"/>
      <c r="AB331" s="38"/>
      <c r="AC331" s="1"/>
      <c r="AD331" s="1"/>
      <c r="AE331" s="1"/>
      <c r="AF331" s="1"/>
      <c r="AG331" s="1"/>
      <c r="AJ331" s="81"/>
      <c r="AK331" s="81"/>
      <c r="AL331" s="81"/>
      <c r="AM331" s="81"/>
      <c r="AN331" s="81"/>
      <c r="AO331" s="81"/>
      <c r="AS331" s="57"/>
      <c r="AT331" s="57"/>
      <c r="AU331" s="57"/>
      <c r="AV331" s="57"/>
      <c r="AW331" s="57"/>
      <c r="AZ331" s="32"/>
      <c r="BA331" s="57"/>
      <c r="BB331" s="57"/>
      <c r="BC331" s="57"/>
      <c r="BD331" s="57"/>
      <c r="BE331" s="57"/>
      <c r="BF331" s="50"/>
    </row>
    <row r="332" spans="1:41" ht="21">
      <c r="A332" s="15" t="s">
        <v>63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76"/>
      <c r="T332" s="15"/>
      <c r="U332" s="15"/>
      <c r="V332" s="15"/>
      <c r="W332" s="15"/>
      <c r="X332" s="15"/>
      <c r="Y332" s="15"/>
      <c r="Z332" s="1"/>
      <c r="AA332" s="1"/>
      <c r="AB332" s="38"/>
      <c r="AC332" s="1"/>
      <c r="AD332" s="1"/>
      <c r="AE332" s="1"/>
      <c r="AF332" s="1"/>
      <c r="AG332" s="1"/>
      <c r="AJ332" s="81"/>
      <c r="AK332" s="81"/>
      <c r="AL332" s="81"/>
      <c r="AM332" s="81"/>
      <c r="AN332" s="81"/>
      <c r="AO332" s="81"/>
    </row>
    <row r="333" spans="1:41" ht="21">
      <c r="A333" s="15" t="s">
        <v>62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76"/>
      <c r="T333" s="15"/>
      <c r="U333" s="15"/>
      <c r="V333" s="15"/>
      <c r="W333" s="15"/>
      <c r="X333" s="15"/>
      <c r="Y333" s="15"/>
      <c r="Z333" s="1"/>
      <c r="AA333" s="1"/>
      <c r="AB333" s="38"/>
      <c r="AC333" s="1"/>
      <c r="AD333" s="1"/>
      <c r="AE333" s="1"/>
      <c r="AF333" s="1"/>
      <c r="AG333" s="1"/>
      <c r="AJ333" s="81"/>
      <c r="AK333" s="81"/>
      <c r="AL333" s="81"/>
      <c r="AM333" s="81"/>
      <c r="AN333" s="81"/>
      <c r="AO333" s="81"/>
    </row>
    <row r="334" spans="1:41" ht="21">
      <c r="A334" s="35" t="s">
        <v>188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76"/>
      <c r="T334" s="15"/>
      <c r="U334" s="15"/>
      <c r="V334" s="15"/>
      <c r="W334" s="35"/>
      <c r="X334" s="35"/>
      <c r="Y334" s="35"/>
      <c r="AB334" s="38"/>
      <c r="AC334" s="1"/>
      <c r="AD334" s="1"/>
      <c r="AE334" s="1"/>
      <c r="AF334" s="1"/>
      <c r="AG334" s="1"/>
      <c r="AJ334" s="81"/>
      <c r="AK334" s="81"/>
      <c r="AL334" s="81"/>
      <c r="AM334" s="81"/>
      <c r="AN334" s="81"/>
      <c r="AO334" s="81"/>
    </row>
    <row r="335" spans="1:28" ht="2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79"/>
      <c r="T335" s="35"/>
      <c r="U335" s="35"/>
      <c r="V335" s="35"/>
      <c r="W335" s="15"/>
      <c r="X335" s="15"/>
      <c r="Y335" s="15"/>
      <c r="Z335" s="1"/>
      <c r="AA335" s="1"/>
      <c r="AB335" s="38"/>
    </row>
    <row r="336" spans="1:33" ht="21">
      <c r="A336" s="15" t="s">
        <v>64</v>
      </c>
      <c r="B336" s="15"/>
      <c r="C336" s="15"/>
      <c r="D336" s="15" t="s">
        <v>65</v>
      </c>
      <c r="E336" s="15"/>
      <c r="F336" s="15"/>
      <c r="G336" s="15"/>
      <c r="H336" s="15"/>
      <c r="I336" s="15"/>
      <c r="J336" s="15"/>
      <c r="K336" s="15"/>
      <c r="L336" s="15" t="s">
        <v>66</v>
      </c>
      <c r="M336" s="15"/>
      <c r="N336" s="15"/>
      <c r="O336" s="15"/>
      <c r="P336" s="15"/>
      <c r="Q336" s="15"/>
      <c r="R336" s="15"/>
      <c r="S336" s="76"/>
      <c r="T336" s="15"/>
      <c r="U336" s="15"/>
      <c r="V336" s="15"/>
      <c r="W336" s="15"/>
      <c r="X336" s="15"/>
      <c r="Y336" s="15"/>
      <c r="Z336" s="1"/>
      <c r="AA336" s="1"/>
      <c r="AB336" s="38"/>
      <c r="AC336" s="1"/>
      <c r="AD336" s="1"/>
      <c r="AE336" s="1"/>
      <c r="AF336" s="1"/>
      <c r="AG336" s="1"/>
    </row>
    <row r="337" spans="1:33" ht="21">
      <c r="A337" s="19" t="s">
        <v>3</v>
      </c>
      <c r="B337" s="15"/>
      <c r="C337" s="15"/>
      <c r="D337" s="19" t="s">
        <v>3</v>
      </c>
      <c r="E337" s="19" t="s">
        <v>3</v>
      </c>
      <c r="F337" s="15"/>
      <c r="G337" s="15"/>
      <c r="H337" s="15"/>
      <c r="I337" s="15"/>
      <c r="J337" s="15"/>
      <c r="K337" s="15"/>
      <c r="L337" s="15" t="s">
        <v>67</v>
      </c>
      <c r="M337" s="15"/>
      <c r="N337" s="15"/>
      <c r="O337" s="15"/>
      <c r="P337" s="15"/>
      <c r="Q337" s="15"/>
      <c r="R337" s="15"/>
      <c r="S337" s="76"/>
      <c r="T337" s="15"/>
      <c r="U337" s="15"/>
      <c r="V337" s="15"/>
      <c r="W337" s="15"/>
      <c r="X337" s="15"/>
      <c r="Y337" s="15"/>
      <c r="Z337" s="1"/>
      <c r="AA337" s="1"/>
      <c r="AB337" s="38"/>
      <c r="AC337" s="1"/>
      <c r="AD337" s="1"/>
      <c r="AE337" s="1"/>
      <c r="AF337" s="1"/>
      <c r="AG337" s="1"/>
    </row>
    <row r="338" spans="1:33" ht="21">
      <c r="A338" s="15" t="s">
        <v>68</v>
      </c>
      <c r="B338" s="15"/>
      <c r="C338" s="15"/>
      <c r="D338" s="15" t="s">
        <v>69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76"/>
      <c r="T338" s="15"/>
      <c r="U338" s="15"/>
      <c r="V338" s="15"/>
      <c r="W338" s="15"/>
      <c r="X338" s="15"/>
      <c r="Y338" s="15"/>
      <c r="Z338" s="1"/>
      <c r="AA338" s="1"/>
      <c r="AB338" s="38"/>
      <c r="AC338" s="1"/>
      <c r="AD338" s="1"/>
      <c r="AE338" s="1"/>
      <c r="AF338" s="1"/>
      <c r="AG338" s="1"/>
    </row>
    <row r="339" spans="1:33" ht="21">
      <c r="A339" s="15" t="s">
        <v>70</v>
      </c>
      <c r="B339" s="15"/>
      <c r="C339" s="15"/>
      <c r="D339" s="15" t="s">
        <v>71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76"/>
      <c r="T339" s="15"/>
      <c r="U339" s="15"/>
      <c r="V339" s="15"/>
      <c r="W339" s="15"/>
      <c r="X339" s="15"/>
      <c r="Y339" s="15"/>
      <c r="Z339" s="1"/>
      <c r="AA339" s="1"/>
      <c r="AB339" s="38"/>
      <c r="AC339" s="1"/>
      <c r="AD339" s="1"/>
      <c r="AE339" s="1"/>
      <c r="AF339" s="1"/>
      <c r="AG339" s="1"/>
    </row>
    <row r="340" spans="1:33" ht="21">
      <c r="A340" s="15" t="s">
        <v>72</v>
      </c>
      <c r="B340" s="15"/>
      <c r="C340" s="15"/>
      <c r="D340" s="15" t="s">
        <v>73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76"/>
      <c r="T340" s="15"/>
      <c r="U340" s="15"/>
      <c r="V340" s="15"/>
      <c r="W340" s="15"/>
      <c r="X340" s="15"/>
      <c r="Y340" s="15"/>
      <c r="Z340" s="1"/>
      <c r="AA340" s="1"/>
      <c r="AB340" s="38"/>
      <c r="AC340" s="1"/>
      <c r="AD340" s="1"/>
      <c r="AE340" s="1"/>
      <c r="AF340" s="1"/>
      <c r="AG340" s="1"/>
    </row>
    <row r="341" spans="1:33" ht="21">
      <c r="A341" s="15" t="s">
        <v>74</v>
      </c>
      <c r="B341" s="15"/>
      <c r="C341" s="15"/>
      <c r="D341" s="15" t="s">
        <v>75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76"/>
      <c r="T341" s="15"/>
      <c r="U341" s="15"/>
      <c r="V341" s="15"/>
      <c r="W341" s="35"/>
      <c r="X341" s="35"/>
      <c r="Y341" s="35"/>
      <c r="AB341" s="38"/>
      <c r="AC341" s="1"/>
      <c r="AD341" s="1"/>
      <c r="AE341" s="1"/>
      <c r="AF341" s="1"/>
      <c r="AG341" s="1"/>
    </row>
    <row r="342" spans="1:28" ht="2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79"/>
      <c r="T342" s="35"/>
      <c r="U342" s="35"/>
      <c r="V342" s="35"/>
      <c r="W342" s="15"/>
      <c r="X342" s="15"/>
      <c r="Y342" s="15"/>
      <c r="Z342" s="1"/>
      <c r="AA342" s="1"/>
      <c r="AB342" s="38"/>
    </row>
    <row r="343" spans="1:33" ht="2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76"/>
      <c r="T343" s="15"/>
      <c r="U343" s="15"/>
      <c r="V343" s="15"/>
      <c r="W343" s="35"/>
      <c r="X343" s="35"/>
      <c r="Y343" s="35"/>
      <c r="AB343" s="38"/>
      <c r="AC343" s="1"/>
      <c r="AD343" s="1"/>
      <c r="AE343" s="1"/>
      <c r="AF343" s="1"/>
      <c r="AG343" s="1"/>
    </row>
    <row r="344" spans="1:28" ht="2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79"/>
      <c r="T344" s="35"/>
      <c r="U344" s="35"/>
      <c r="V344" s="35"/>
      <c r="W344" s="15"/>
      <c r="X344" s="15"/>
      <c r="Y344" s="15"/>
      <c r="Z344" s="1"/>
      <c r="AA344" s="1"/>
      <c r="AB344" s="38"/>
    </row>
    <row r="345" spans="1:33" ht="2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76"/>
      <c r="T345" s="15"/>
      <c r="U345" s="15"/>
      <c r="V345" s="15"/>
      <c r="W345" s="15"/>
      <c r="X345" s="15"/>
      <c r="Y345" s="15"/>
      <c r="Z345" s="1"/>
      <c r="AA345" s="1"/>
      <c r="AB345" s="38"/>
      <c r="AC345" s="1"/>
      <c r="AD345" s="1"/>
      <c r="AE345" s="1"/>
      <c r="AF345" s="1"/>
      <c r="AG345" s="1"/>
    </row>
    <row r="346" spans="1:33" ht="21">
      <c r="A346" s="15" t="s">
        <v>0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76"/>
      <c r="T346" s="15"/>
      <c r="U346" s="15"/>
      <c r="V346" s="15"/>
      <c r="W346" s="15"/>
      <c r="X346" s="15"/>
      <c r="Y346" s="15"/>
      <c r="Z346" s="1"/>
      <c r="AA346" s="1"/>
      <c r="AB346" s="38"/>
      <c r="AC346" s="1"/>
      <c r="AD346" s="1"/>
      <c r="AE346" s="1"/>
      <c r="AF346" s="1"/>
      <c r="AG346" s="1"/>
    </row>
    <row r="347" spans="1:33" ht="21">
      <c r="A347" s="15" t="str">
        <f>$A$3</f>
        <v>MISSION &amp; SERVICE BUDGET APPORTIONMENT 2022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76"/>
      <c r="T347" s="15"/>
      <c r="U347" s="15"/>
      <c r="V347" s="15"/>
      <c r="W347" s="15"/>
      <c r="X347" s="15"/>
      <c r="Y347" s="15"/>
      <c r="Z347" s="1"/>
      <c r="AA347" s="1"/>
      <c r="AB347" s="38"/>
      <c r="AC347" s="1"/>
      <c r="AD347" s="1"/>
      <c r="AE347" s="1"/>
      <c r="AF347" s="1"/>
      <c r="AG347" s="1"/>
    </row>
    <row r="348" spans="1:33" ht="2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76"/>
      <c r="T348" s="15"/>
      <c r="U348" s="15"/>
      <c r="V348" s="15"/>
      <c r="W348" s="15"/>
      <c r="X348" s="15"/>
      <c r="Y348" s="15"/>
      <c r="Z348" s="1"/>
      <c r="AA348" s="1"/>
      <c r="AB348" s="38"/>
      <c r="AC348" s="1"/>
      <c r="AD348" s="1"/>
      <c r="AE348" s="1"/>
      <c r="AF348" s="1"/>
      <c r="AG348" s="1"/>
    </row>
    <row r="349" spans="1:33" ht="2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76"/>
      <c r="T349" s="15"/>
      <c r="U349" s="15"/>
      <c r="V349" s="15"/>
      <c r="W349" s="15"/>
      <c r="X349" s="15"/>
      <c r="Y349" s="15"/>
      <c r="Z349" s="1"/>
      <c r="AA349" s="1"/>
      <c r="AB349" s="38"/>
      <c r="AC349" s="1"/>
      <c r="AD349" s="1"/>
      <c r="AE349" s="1"/>
      <c r="AF349" s="1"/>
      <c r="AG349" s="1"/>
    </row>
    <row r="350" spans="1:33" ht="21">
      <c r="A350" s="15" t="s">
        <v>138</v>
      </c>
      <c r="B350" s="15" t="s">
        <v>2</v>
      </c>
      <c r="C350" s="15" t="str">
        <f>C32</f>
        <v>2020 expenses</v>
      </c>
      <c r="D350" s="15"/>
      <c r="E350" s="15"/>
      <c r="F350" s="15" t="s">
        <v>2</v>
      </c>
      <c r="G350" s="19" t="s">
        <v>3</v>
      </c>
      <c r="H350" s="19" t="s">
        <v>3</v>
      </c>
      <c r="I350" s="19" t="s">
        <v>3</v>
      </c>
      <c r="J350" s="18" t="s">
        <v>4</v>
      </c>
      <c r="K350" s="19" t="s">
        <v>3</v>
      </c>
      <c r="L350" s="19" t="s">
        <v>3</v>
      </c>
      <c r="M350" s="15" t="s">
        <v>2</v>
      </c>
      <c r="N350" s="15" t="s">
        <v>5</v>
      </c>
      <c r="O350" s="15"/>
      <c r="P350" s="15" t="s">
        <v>2</v>
      </c>
      <c r="Q350" s="18" t="s">
        <v>6</v>
      </c>
      <c r="R350" s="15" t="s">
        <v>2</v>
      </c>
      <c r="S350" s="76" t="str">
        <f>S32</f>
        <v>------------------------</v>
      </c>
      <c r="T350" s="18" t="str">
        <f>+T298</f>
        <v>APPORTIONMENT</v>
      </c>
      <c r="U350" s="15" t="str">
        <f>+U298</f>
        <v>---------------------</v>
      </c>
      <c r="V350" s="15" t="s">
        <v>2</v>
      </c>
      <c r="W350" s="15"/>
      <c r="X350" s="15"/>
      <c r="Y350" s="15"/>
      <c r="Z350" s="1"/>
      <c r="AA350" s="1"/>
      <c r="AB350" s="38"/>
      <c r="AC350" s="1"/>
      <c r="AD350" s="1"/>
      <c r="AE350" s="1"/>
      <c r="AF350" s="1"/>
      <c r="AG350" s="1"/>
    </row>
    <row r="351" spans="1:33" ht="21">
      <c r="A351" s="15"/>
      <c r="B351" s="15" t="s">
        <v>2</v>
      </c>
      <c r="C351" s="15"/>
      <c r="D351" s="15"/>
      <c r="E351" s="15"/>
      <c r="F351" s="15" t="s">
        <v>2</v>
      </c>
      <c r="G351" s="15"/>
      <c r="H351" s="15"/>
      <c r="I351" s="15"/>
      <c r="J351" s="15"/>
      <c r="K351" s="15"/>
      <c r="L351" s="15"/>
      <c r="M351" s="15" t="s">
        <v>2</v>
      </c>
      <c r="N351" s="15"/>
      <c r="O351" s="20" t="s">
        <v>8</v>
      </c>
      <c r="P351" s="15" t="s">
        <v>2</v>
      </c>
      <c r="Q351" s="15"/>
      <c r="R351" s="15" t="s">
        <v>2</v>
      </c>
      <c r="S351" s="76"/>
      <c r="T351" s="15"/>
      <c r="U351" s="15"/>
      <c r="V351" s="15" t="s">
        <v>2</v>
      </c>
      <c r="W351" s="15"/>
      <c r="X351" s="15"/>
      <c r="Y351" s="15"/>
      <c r="Z351" s="1"/>
      <c r="AA351" s="1"/>
      <c r="AB351" s="38"/>
      <c r="AC351" s="1"/>
      <c r="AD351" s="1"/>
      <c r="AE351" s="1"/>
      <c r="AF351" s="1"/>
      <c r="AG351" s="1"/>
    </row>
    <row r="352" spans="1:37" ht="22.5">
      <c r="A352" s="15"/>
      <c r="B352" s="15" t="s">
        <v>2</v>
      </c>
      <c r="C352" s="15"/>
      <c r="D352" s="15"/>
      <c r="E352" s="18" t="s">
        <v>9</v>
      </c>
      <c r="F352" s="15" t="s">
        <v>2</v>
      </c>
      <c r="G352" s="15"/>
      <c r="H352" s="15"/>
      <c r="I352" s="15"/>
      <c r="J352" s="20" t="s">
        <v>10</v>
      </c>
      <c r="K352" s="20" t="s">
        <v>11</v>
      </c>
      <c r="L352" s="15"/>
      <c r="M352" s="15" t="s">
        <v>2</v>
      </c>
      <c r="N352" s="15"/>
      <c r="O352" s="20" t="s">
        <v>12</v>
      </c>
      <c r="P352" s="15" t="s">
        <v>2</v>
      </c>
      <c r="Q352" s="18" t="s">
        <v>13</v>
      </c>
      <c r="R352" s="15" t="s">
        <v>2</v>
      </c>
      <c r="S352" s="76"/>
      <c r="U352" s="15"/>
      <c r="V352" s="15" t="s">
        <v>2</v>
      </c>
      <c r="W352" s="15"/>
      <c r="X352" s="15"/>
      <c r="Y352" s="15"/>
      <c r="Z352" s="1"/>
      <c r="AA352" s="1"/>
      <c r="AB352" s="38"/>
      <c r="AC352" s="1"/>
      <c r="AD352" s="1"/>
      <c r="AE352" s="1"/>
      <c r="AF352" s="1"/>
      <c r="AG352" s="1"/>
      <c r="AK352" s="60" t="s">
        <v>513</v>
      </c>
    </row>
    <row r="353" spans="1:65" ht="21">
      <c r="A353" s="15"/>
      <c r="B353" s="15" t="s">
        <v>2</v>
      </c>
      <c r="C353" s="15"/>
      <c r="D353" s="18" t="s">
        <v>14</v>
      </c>
      <c r="E353" s="18" t="s">
        <v>15</v>
      </c>
      <c r="F353" s="15" t="s">
        <v>2</v>
      </c>
      <c r="G353" s="20" t="s">
        <v>215</v>
      </c>
      <c r="H353" s="20" t="s">
        <v>16</v>
      </c>
      <c r="I353" s="20" t="s">
        <v>17</v>
      </c>
      <c r="J353" s="20" t="s">
        <v>18</v>
      </c>
      <c r="K353" s="20" t="s">
        <v>19</v>
      </c>
      <c r="L353" s="20" t="s">
        <v>9</v>
      </c>
      <c r="M353" s="15" t="s">
        <v>2</v>
      </c>
      <c r="N353" s="20" t="s">
        <v>20</v>
      </c>
      <c r="O353" s="20" t="s">
        <v>21</v>
      </c>
      <c r="P353" s="15" t="s">
        <v>2</v>
      </c>
      <c r="Q353" s="20" t="s">
        <v>22</v>
      </c>
      <c r="R353" s="15" t="s">
        <v>2</v>
      </c>
      <c r="S353" s="76"/>
      <c r="T353" s="9" t="s">
        <v>23</v>
      </c>
      <c r="U353" s="15"/>
      <c r="V353" s="15" t="s">
        <v>2</v>
      </c>
      <c r="W353" s="15"/>
      <c r="X353" s="15"/>
      <c r="Y353" s="15"/>
      <c r="Z353" s="1"/>
      <c r="AA353" s="1"/>
      <c r="AB353" s="38"/>
      <c r="AC353" s="1"/>
      <c r="AD353" s="1"/>
      <c r="AE353" s="1"/>
      <c r="AF353" s="1"/>
      <c r="AG353" s="1"/>
      <c r="AR353" s="32"/>
      <c r="BH353" s="32"/>
      <c r="BI353" s="33"/>
      <c r="BJ353" s="33"/>
      <c r="BK353" s="33"/>
      <c r="BL353" s="33"/>
      <c r="BM353" s="33"/>
    </row>
    <row r="354" spans="1:65" ht="22.5">
      <c r="A354" s="15"/>
      <c r="B354" s="15" t="s">
        <v>2</v>
      </c>
      <c r="C354" s="18" t="s">
        <v>15</v>
      </c>
      <c r="D354" s="18" t="s">
        <v>25</v>
      </c>
      <c r="E354" s="18" t="s">
        <v>14</v>
      </c>
      <c r="F354" s="15" t="s">
        <v>2</v>
      </c>
      <c r="G354" s="20" t="s">
        <v>216</v>
      </c>
      <c r="H354" s="20" t="s">
        <v>26</v>
      </c>
      <c r="I354" s="20" t="s">
        <v>16</v>
      </c>
      <c r="J354" s="20" t="s">
        <v>27</v>
      </c>
      <c r="K354" s="20" t="s">
        <v>28</v>
      </c>
      <c r="L354" s="20" t="s">
        <v>29</v>
      </c>
      <c r="M354" s="15" t="s">
        <v>2</v>
      </c>
      <c r="N354" s="20" t="s">
        <v>15</v>
      </c>
      <c r="O354" s="20" t="s">
        <v>30</v>
      </c>
      <c r="P354" s="15" t="s">
        <v>2</v>
      </c>
      <c r="Q354" s="20" t="s">
        <v>12</v>
      </c>
      <c r="R354" s="15" t="s">
        <v>2</v>
      </c>
      <c r="T354" s="18" t="str">
        <f>+T302</f>
        <v>Extra</v>
      </c>
      <c r="U354" s="20" t="s">
        <v>31</v>
      </c>
      <c r="V354" s="15" t="s">
        <v>2</v>
      </c>
      <c r="W354" s="23"/>
      <c r="X354" s="23"/>
      <c r="Y354" s="23"/>
      <c r="Z354" s="1"/>
      <c r="AA354" s="1"/>
      <c r="AB354" s="38"/>
      <c r="AC354" s="1"/>
      <c r="AD354" s="1"/>
      <c r="AE354" s="1"/>
      <c r="AF354" s="1"/>
      <c r="AG354" s="1"/>
      <c r="AR354" s="32"/>
      <c r="AS354" s="60" t="s">
        <v>505</v>
      </c>
      <c r="BH354" s="32"/>
      <c r="BI354" s="33"/>
      <c r="BJ354" s="33"/>
      <c r="BK354" s="33"/>
      <c r="BL354" s="48"/>
      <c r="BM354" s="33"/>
    </row>
    <row r="355" spans="1:33" ht="21">
      <c r="A355" s="15"/>
      <c r="B355" s="15" t="s">
        <v>2</v>
      </c>
      <c r="C355" s="18" t="s">
        <v>14</v>
      </c>
      <c r="D355" s="18" t="s">
        <v>33</v>
      </c>
      <c r="E355" s="18" t="s">
        <v>34</v>
      </c>
      <c r="F355" s="15" t="s">
        <v>2</v>
      </c>
      <c r="G355" s="20" t="s">
        <v>35</v>
      </c>
      <c r="H355" s="20" t="s">
        <v>36</v>
      </c>
      <c r="I355" s="20" t="s">
        <v>37</v>
      </c>
      <c r="J355" s="20" t="s">
        <v>38</v>
      </c>
      <c r="K355" s="20" t="s">
        <v>39</v>
      </c>
      <c r="L355" s="20" t="s">
        <v>40</v>
      </c>
      <c r="M355" s="15" t="s">
        <v>2</v>
      </c>
      <c r="N355" s="20" t="s">
        <v>14</v>
      </c>
      <c r="O355" s="20" t="s">
        <v>41</v>
      </c>
      <c r="P355" s="15" t="s">
        <v>2</v>
      </c>
      <c r="Q355" s="22">
        <f>Q10</f>
        <v>0.25577674211452567</v>
      </c>
      <c r="R355" s="15" t="s">
        <v>2</v>
      </c>
      <c r="S355" s="80" t="str">
        <f>+S303</f>
        <v>Apportionment</v>
      </c>
      <c r="T355" s="18" t="str">
        <f>+T303</f>
        <v>Mile</v>
      </c>
      <c r="U355" s="20" t="s">
        <v>42</v>
      </c>
      <c r="V355" s="15" t="s">
        <v>2</v>
      </c>
      <c r="W355" s="15"/>
      <c r="X355" s="15"/>
      <c r="Y355" s="15"/>
      <c r="Z355" s="1"/>
      <c r="AA355" s="1"/>
      <c r="AB355" s="38"/>
      <c r="AC355" s="1"/>
      <c r="AD355" s="1"/>
      <c r="AE355" s="1"/>
      <c r="AF355" s="1"/>
      <c r="AG355" s="1"/>
    </row>
    <row r="356" spans="1:65" ht="101.25" thickBot="1">
      <c r="A356" s="19" t="s">
        <v>3</v>
      </c>
      <c r="B356" s="15"/>
      <c r="C356" s="19" t="s">
        <v>3</v>
      </c>
      <c r="D356" s="19" t="s">
        <v>3</v>
      </c>
      <c r="E356" s="19" t="s">
        <v>3</v>
      </c>
      <c r="F356" s="15"/>
      <c r="G356" s="19" t="s">
        <v>3</v>
      </c>
      <c r="H356" s="19" t="s">
        <v>3</v>
      </c>
      <c r="I356" s="19" t="s">
        <v>3</v>
      </c>
      <c r="J356" s="19" t="s">
        <v>3</v>
      </c>
      <c r="K356" s="19" t="s">
        <v>3</v>
      </c>
      <c r="L356" s="19" t="s">
        <v>3</v>
      </c>
      <c r="M356" s="15"/>
      <c r="N356" s="19" t="s">
        <v>3</v>
      </c>
      <c r="O356" s="19" t="s">
        <v>3</v>
      </c>
      <c r="P356" s="15"/>
      <c r="Q356" s="19" t="s">
        <v>3</v>
      </c>
      <c r="R356" s="15"/>
      <c r="S356" s="78" t="s">
        <v>3</v>
      </c>
      <c r="T356" s="19" t="s">
        <v>3</v>
      </c>
      <c r="U356" s="19" t="s">
        <v>3</v>
      </c>
      <c r="V356" s="15"/>
      <c r="X356" s="69" t="s">
        <v>577</v>
      </c>
      <c r="Y356" s="69" t="s">
        <v>508</v>
      </c>
      <c r="Z356" s="24">
        <v>2020</v>
      </c>
      <c r="AA356" s="24">
        <v>2019</v>
      </c>
      <c r="AB356" s="24">
        <v>2018</v>
      </c>
      <c r="AC356" s="25" t="s">
        <v>394</v>
      </c>
      <c r="AD356" s="26"/>
      <c r="AE356" s="1"/>
      <c r="AF356" s="1"/>
      <c r="AG356" s="1"/>
      <c r="AK356" s="27" t="s">
        <v>379</v>
      </c>
      <c r="AL356" s="27" t="s">
        <v>380</v>
      </c>
      <c r="AM356" s="27" t="s">
        <v>381</v>
      </c>
      <c r="AN356" s="27" t="s">
        <v>382</v>
      </c>
      <c r="AO356" s="27" t="s">
        <v>383</v>
      </c>
      <c r="AS356" s="27" t="s">
        <v>379</v>
      </c>
      <c r="AT356" s="27" t="s">
        <v>380</v>
      </c>
      <c r="AU356" s="27" t="s">
        <v>381</v>
      </c>
      <c r="AV356" s="27" t="s">
        <v>382</v>
      </c>
      <c r="AW356" s="27" t="s">
        <v>383</v>
      </c>
      <c r="AZ356" s="32"/>
      <c r="BA356" s="57"/>
      <c r="BB356" s="57"/>
      <c r="BC356" s="57"/>
      <c r="BD356" s="57"/>
      <c r="BE356" s="57"/>
      <c r="BF356" s="50"/>
      <c r="BI356" s="27" t="s">
        <v>379</v>
      </c>
      <c r="BJ356" s="27" t="s">
        <v>380</v>
      </c>
      <c r="BK356" s="27" t="s">
        <v>381</v>
      </c>
      <c r="BL356" s="27" t="s">
        <v>382</v>
      </c>
      <c r="BM356" s="27" t="s">
        <v>383</v>
      </c>
    </row>
    <row r="357" spans="1:65" ht="21">
      <c r="A357" s="15" t="s">
        <v>181</v>
      </c>
      <c r="B357" s="28"/>
      <c r="C357" s="29">
        <f aca="true" t="shared" si="137" ref="C357:C368">AK357</f>
        <v>124737.7</v>
      </c>
      <c r="D357" s="21">
        <f aca="true" t="shared" si="138" ref="D357:D368">AL357</f>
        <v>0</v>
      </c>
      <c r="E357" s="15">
        <f>D357+C357</f>
        <v>124737.7</v>
      </c>
      <c r="F357" s="15"/>
      <c r="G357" s="15">
        <f aca="true" t="shared" si="139" ref="G357:G368">AM357</f>
        <v>0</v>
      </c>
      <c r="H357" s="21">
        <f aca="true" t="shared" si="140" ref="H357:H368">AN357</f>
        <v>12529.66</v>
      </c>
      <c r="I357" s="15">
        <f aca="true" t="shared" si="141" ref="I357:I368">H357*0.5</f>
        <v>6264.83</v>
      </c>
      <c r="J357" s="21">
        <f aca="true" t="shared" si="142" ref="J357:J368">AO357</f>
        <v>0</v>
      </c>
      <c r="K357" s="15">
        <f aca="true" t="shared" si="143" ref="K357:K368">J357*0.25</f>
        <v>0</v>
      </c>
      <c r="L357" s="15">
        <f aca="true" t="shared" si="144" ref="L357:L368">+G357+I357+K357</f>
        <v>6264.83</v>
      </c>
      <c r="M357" s="15"/>
      <c r="N357" s="15">
        <f aca="true" t="shared" si="145" ref="N357:N368">E357-L357</f>
        <v>118472.87</v>
      </c>
      <c r="O357" s="15">
        <f aca="true" t="shared" si="146" ref="O357:O368">IF(N357&gt;=4000,(N357-4000)*0.9+2200,IF(N357&gt;=3000,(N357-3000)*0.8+1400,IF(N357&gt;=2000,(N357-2000)*0.6+800,IF(N357&gt;0,N357*0.4,0))))</f>
        <v>105225.583</v>
      </c>
      <c r="P357" s="15"/>
      <c r="Q357" s="30" t="s">
        <v>44</v>
      </c>
      <c r="R357" s="15"/>
      <c r="S357" s="76">
        <f aca="true" t="shared" si="147" ref="S357:S368">ROUND(SUM(O357*$Q$10),0)</f>
        <v>26914</v>
      </c>
      <c r="T357" s="15">
        <f aca="true" t="shared" si="148" ref="T357:T368">ROUND(SUM(S357*0.1),0)</f>
        <v>2691</v>
      </c>
      <c r="U357" s="15">
        <f aca="true" t="shared" si="149" ref="U357:U368">SUM(S357:T357)</f>
        <v>29605</v>
      </c>
      <c r="V357" s="15"/>
      <c r="W357" s="15" t="s">
        <v>181</v>
      </c>
      <c r="X357" s="15">
        <f>S357</f>
        <v>26914</v>
      </c>
      <c r="Y357" s="15">
        <v>30951</v>
      </c>
      <c r="Z357" s="15">
        <v>31742</v>
      </c>
      <c r="AA357" s="15">
        <v>29434</v>
      </c>
      <c r="AB357" s="40">
        <v>25974</v>
      </c>
      <c r="AC357" s="15">
        <f>Z357-AA357</f>
        <v>2308</v>
      </c>
      <c r="AD357" s="1"/>
      <c r="AE357" s="3">
        <v>1</v>
      </c>
      <c r="AF357" s="1" t="s">
        <v>181</v>
      </c>
      <c r="AG357" s="1">
        <v>29434</v>
      </c>
      <c r="AJ357" s="81" t="s">
        <v>336</v>
      </c>
      <c r="AK357" s="85">
        <v>124737.7</v>
      </c>
      <c r="AL357" s="84">
        <v>0</v>
      </c>
      <c r="AM357" s="81">
        <v>0</v>
      </c>
      <c r="AN357" s="81">
        <v>12529.66</v>
      </c>
      <c r="AO357" s="81">
        <v>0</v>
      </c>
      <c r="AR357" s="32" t="s">
        <v>336</v>
      </c>
      <c r="AS357" s="57">
        <v>153341.15</v>
      </c>
      <c r="AT357" s="57">
        <v>0</v>
      </c>
      <c r="AU357" s="57">
        <v>0</v>
      </c>
      <c r="AV357" s="57">
        <v>15153.5</v>
      </c>
      <c r="AW357" s="57">
        <v>0</v>
      </c>
      <c r="AZ357" s="32" t="s">
        <v>485</v>
      </c>
      <c r="BA357" s="57">
        <v>153341.15</v>
      </c>
      <c r="BB357" s="57">
        <v>0</v>
      </c>
      <c r="BC357" s="57">
        <v>0</v>
      </c>
      <c r="BD357" s="57">
        <v>15153.5</v>
      </c>
      <c r="BE357" s="57">
        <v>0</v>
      </c>
      <c r="BF357" s="50"/>
      <c r="BG357" s="43"/>
      <c r="BH357" s="32" t="s">
        <v>336</v>
      </c>
      <c r="BI357" s="33">
        <v>151251</v>
      </c>
      <c r="BJ357" s="33">
        <v>0</v>
      </c>
      <c r="BK357" s="33">
        <v>0</v>
      </c>
      <c r="BL357" s="33">
        <v>16250</v>
      </c>
      <c r="BM357" s="33">
        <v>0</v>
      </c>
    </row>
    <row r="358" spans="1:65" ht="21">
      <c r="A358" s="15" t="s">
        <v>139</v>
      </c>
      <c r="B358" s="28"/>
      <c r="C358" s="29">
        <f t="shared" si="137"/>
        <v>43521.22</v>
      </c>
      <c r="D358" s="21">
        <f t="shared" si="138"/>
        <v>0</v>
      </c>
      <c r="E358" s="15">
        <f aca="true" t="shared" si="150" ref="E358:E368">D358+C358</f>
        <v>43521.22</v>
      </c>
      <c r="F358" s="15"/>
      <c r="G358" s="15">
        <f t="shared" si="139"/>
        <v>0</v>
      </c>
      <c r="H358" s="21">
        <f t="shared" si="140"/>
        <v>8852.64</v>
      </c>
      <c r="I358" s="15">
        <f t="shared" si="141"/>
        <v>4426.32</v>
      </c>
      <c r="J358" s="21">
        <f t="shared" si="142"/>
        <v>0</v>
      </c>
      <c r="K358" s="15">
        <f t="shared" si="143"/>
        <v>0</v>
      </c>
      <c r="L358" s="15">
        <f t="shared" si="144"/>
        <v>4426.32</v>
      </c>
      <c r="M358" s="15"/>
      <c r="N358" s="15">
        <f t="shared" si="145"/>
        <v>39094.9</v>
      </c>
      <c r="O358" s="15">
        <f t="shared" si="146"/>
        <v>33785.41</v>
      </c>
      <c r="P358" s="15"/>
      <c r="Q358" s="30" t="s">
        <v>44</v>
      </c>
      <c r="R358" s="15"/>
      <c r="S358" s="76">
        <f t="shared" si="147"/>
        <v>8642</v>
      </c>
      <c r="T358" s="15">
        <f t="shared" si="148"/>
        <v>864</v>
      </c>
      <c r="U358" s="15">
        <f t="shared" si="149"/>
        <v>9506</v>
      </c>
      <c r="V358" s="15"/>
      <c r="W358" s="15" t="s">
        <v>139</v>
      </c>
      <c r="X358" s="15">
        <f aca="true" t="shared" si="151" ref="X358:X368">S358</f>
        <v>8642</v>
      </c>
      <c r="Y358" s="15">
        <v>8956</v>
      </c>
      <c r="Z358" s="15">
        <v>7044</v>
      </c>
      <c r="AA358" s="15">
        <v>5833</v>
      </c>
      <c r="AB358" s="40">
        <v>6565</v>
      </c>
      <c r="AC358" s="15">
        <f aca="true" t="shared" si="152" ref="AC358:AC375">Z358-AA358</f>
        <v>1211</v>
      </c>
      <c r="AD358" s="1"/>
      <c r="AE358" s="3">
        <v>1</v>
      </c>
      <c r="AF358" s="1" t="s">
        <v>139</v>
      </c>
      <c r="AG358" s="1">
        <v>5833</v>
      </c>
      <c r="AJ358" s="81" t="s">
        <v>559</v>
      </c>
      <c r="AK358" s="82">
        <v>43521.22</v>
      </c>
      <c r="AL358" s="84">
        <v>0</v>
      </c>
      <c r="AM358" s="84">
        <v>0</v>
      </c>
      <c r="AN358" s="82">
        <v>8852.64</v>
      </c>
      <c r="AO358" s="81">
        <v>0</v>
      </c>
      <c r="AR358" s="32" t="s">
        <v>338</v>
      </c>
      <c r="AS358" s="57">
        <v>47711</v>
      </c>
      <c r="AT358" s="57">
        <v>0</v>
      </c>
      <c r="AU358" s="57">
        <v>0</v>
      </c>
      <c r="AV358" s="57">
        <v>8852.64</v>
      </c>
      <c r="AW358" s="57">
        <v>0</v>
      </c>
      <c r="AZ358" s="32" t="s">
        <v>483</v>
      </c>
      <c r="BA358" s="57">
        <v>47711</v>
      </c>
      <c r="BB358" s="57">
        <v>0</v>
      </c>
      <c r="BC358" s="57">
        <v>0</v>
      </c>
      <c r="BD358" s="57">
        <v>8852.64</v>
      </c>
      <c r="BE358" s="57">
        <v>0</v>
      </c>
      <c r="BF358" s="50"/>
      <c r="BG358" s="43"/>
      <c r="BH358" s="32" t="s">
        <v>338</v>
      </c>
      <c r="BI358" s="33">
        <v>37397</v>
      </c>
      <c r="BJ358" s="33">
        <v>0</v>
      </c>
      <c r="BK358" s="33">
        <v>0</v>
      </c>
      <c r="BL358" s="33">
        <v>8853</v>
      </c>
      <c r="BM358" s="33">
        <v>0</v>
      </c>
    </row>
    <row r="359" spans="1:65" ht="21.75">
      <c r="A359" s="15" t="s">
        <v>164</v>
      </c>
      <c r="B359" s="62" t="s">
        <v>105</v>
      </c>
      <c r="C359" s="29">
        <f t="shared" si="137"/>
        <v>75724.55</v>
      </c>
      <c r="D359" s="21">
        <f t="shared" si="138"/>
        <v>0</v>
      </c>
      <c r="E359" s="15">
        <f t="shared" si="150"/>
        <v>75724.55</v>
      </c>
      <c r="F359" s="15"/>
      <c r="G359" s="15">
        <f t="shared" si="139"/>
        <v>0</v>
      </c>
      <c r="H359" s="21">
        <f t="shared" si="140"/>
        <v>0</v>
      </c>
      <c r="I359" s="15">
        <f t="shared" si="141"/>
        <v>0</v>
      </c>
      <c r="J359" s="21">
        <f t="shared" si="142"/>
        <v>0</v>
      </c>
      <c r="K359" s="15">
        <f>J359*0.25</f>
        <v>0</v>
      </c>
      <c r="L359" s="15">
        <f>+G359+I359+K359</f>
        <v>0</v>
      </c>
      <c r="M359" s="15"/>
      <c r="N359" s="15">
        <f>E359-L359</f>
        <v>75724.55</v>
      </c>
      <c r="O359" s="15">
        <f>IF(N359&gt;=4000,(N359-4000)*0.9+2200,IF(N359&gt;=3000,(N359-3000)*0.8+1400,IF(N359&gt;=2000,(N359-2000)*0.6+800,IF(N359&gt;0,N359*0.4,0))))</f>
        <v>66752.095</v>
      </c>
      <c r="P359" s="15"/>
      <c r="Q359" s="30" t="s">
        <v>44</v>
      </c>
      <c r="R359" s="15"/>
      <c r="S359" s="76">
        <f>ROUND(SUM(O359*$Q$10),0)</f>
        <v>17074</v>
      </c>
      <c r="T359" s="15">
        <f>ROUND(SUM(S359*0.1),0)</f>
        <v>1707</v>
      </c>
      <c r="U359" s="15">
        <f>SUM(S359:T359)</f>
        <v>18781</v>
      </c>
      <c r="V359" s="15"/>
      <c r="W359" s="15" t="s">
        <v>164</v>
      </c>
      <c r="X359" s="15">
        <f t="shared" si="151"/>
        <v>17074</v>
      </c>
      <c r="Y359" s="15">
        <v>15919</v>
      </c>
      <c r="Z359" s="15">
        <v>16595</v>
      </c>
      <c r="AA359" s="15">
        <v>12447</v>
      </c>
      <c r="AB359" s="40">
        <v>11122</v>
      </c>
      <c r="AC359" s="15">
        <f t="shared" si="152"/>
        <v>4148</v>
      </c>
      <c r="AD359" s="1"/>
      <c r="AE359" s="3">
        <v>1</v>
      </c>
      <c r="AF359" s="1" t="s">
        <v>164</v>
      </c>
      <c r="AG359" s="1">
        <v>12447</v>
      </c>
      <c r="AJ359" s="86"/>
      <c r="AK359" s="91">
        <f aca="true" t="shared" si="153" ref="AK359:AK364">AS359</f>
        <v>75724.55</v>
      </c>
      <c r="AL359" s="91">
        <f aca="true" t="shared" si="154" ref="AL359:AL364">AT359</f>
        <v>0</v>
      </c>
      <c r="AM359" s="91">
        <f aca="true" t="shared" si="155" ref="AM359:AM364">AU359</f>
        <v>0</v>
      </c>
      <c r="AN359" s="91">
        <f aca="true" t="shared" si="156" ref="AN359:AN364">AV359</f>
        <v>0</v>
      </c>
      <c r="AO359" s="91">
        <f aca="true" t="shared" si="157" ref="AO359:AO364">AW359</f>
        <v>0</v>
      </c>
      <c r="AR359" s="32" t="s">
        <v>339</v>
      </c>
      <c r="AS359" s="57">
        <f>75724.55</f>
        <v>75724.55</v>
      </c>
      <c r="AT359" s="57"/>
      <c r="AU359" s="57"/>
      <c r="AV359" s="57">
        <v>0</v>
      </c>
      <c r="AW359" s="57"/>
      <c r="AZ359" s="32" t="s">
        <v>339</v>
      </c>
      <c r="BA359" s="57">
        <v>75724.55</v>
      </c>
      <c r="BB359" s="57"/>
      <c r="BC359" s="57"/>
      <c r="BD359" s="57">
        <v>0</v>
      </c>
      <c r="BE359" s="57"/>
      <c r="BF359" s="50"/>
      <c r="BG359" s="43"/>
      <c r="BH359" s="32" t="s">
        <v>339</v>
      </c>
      <c r="BI359" s="33">
        <v>75571</v>
      </c>
      <c r="BJ359" s="33">
        <v>0</v>
      </c>
      <c r="BK359" s="33">
        <v>0</v>
      </c>
      <c r="BL359" s="33">
        <v>0</v>
      </c>
      <c r="BM359" s="33">
        <v>0</v>
      </c>
    </row>
    <row r="360" spans="1:65" ht="21.75">
      <c r="A360" s="15" t="s">
        <v>140</v>
      </c>
      <c r="B360" s="62" t="s">
        <v>105</v>
      </c>
      <c r="C360" s="29">
        <f t="shared" si="137"/>
        <v>37077</v>
      </c>
      <c r="D360" s="21">
        <f t="shared" si="138"/>
        <v>0</v>
      </c>
      <c r="E360" s="15">
        <f t="shared" si="150"/>
        <v>37077</v>
      </c>
      <c r="F360" s="15"/>
      <c r="G360" s="15">
        <f t="shared" si="139"/>
        <v>0</v>
      </c>
      <c r="H360" s="21">
        <f t="shared" si="140"/>
        <v>3850.67</v>
      </c>
      <c r="I360" s="15">
        <f t="shared" si="141"/>
        <v>1925.335</v>
      </c>
      <c r="J360" s="21">
        <f t="shared" si="142"/>
        <v>0</v>
      </c>
      <c r="K360" s="15">
        <f t="shared" si="143"/>
        <v>0</v>
      </c>
      <c r="L360" s="15">
        <f t="shared" si="144"/>
        <v>1925.335</v>
      </c>
      <c r="M360" s="15"/>
      <c r="N360" s="15">
        <f t="shared" si="145"/>
        <v>35151.665</v>
      </c>
      <c r="O360" s="15">
        <f t="shared" si="146"/>
        <v>30236.4985</v>
      </c>
      <c r="P360" s="15"/>
      <c r="Q360" s="30" t="s">
        <v>44</v>
      </c>
      <c r="R360" s="15"/>
      <c r="S360" s="76">
        <f t="shared" si="147"/>
        <v>7734</v>
      </c>
      <c r="T360" s="15">
        <f t="shared" si="148"/>
        <v>773</v>
      </c>
      <c r="U360" s="15">
        <f t="shared" si="149"/>
        <v>8507</v>
      </c>
      <c r="V360" s="15"/>
      <c r="W360" s="15" t="s">
        <v>140</v>
      </c>
      <c r="X360" s="15">
        <f t="shared" si="151"/>
        <v>7734</v>
      </c>
      <c r="Y360" s="15">
        <v>7211</v>
      </c>
      <c r="Z360" s="15">
        <v>5014</v>
      </c>
      <c r="AA360" s="15">
        <v>5048</v>
      </c>
      <c r="AB360" s="40">
        <v>3842</v>
      </c>
      <c r="AC360" s="15">
        <f t="shared" si="152"/>
        <v>-34</v>
      </c>
      <c r="AD360" s="1"/>
      <c r="AE360" s="3">
        <v>1</v>
      </c>
      <c r="AF360" s="1" t="s">
        <v>140</v>
      </c>
      <c r="AG360" s="1">
        <v>5048</v>
      </c>
      <c r="AJ360" s="89"/>
      <c r="AK360" s="91">
        <f t="shared" si="153"/>
        <v>37077</v>
      </c>
      <c r="AL360" s="91">
        <f t="shared" si="154"/>
        <v>0</v>
      </c>
      <c r="AM360" s="91">
        <f t="shared" si="155"/>
        <v>0</v>
      </c>
      <c r="AN360" s="91">
        <f t="shared" si="156"/>
        <v>3850.67</v>
      </c>
      <c r="AO360" s="91">
        <f t="shared" si="157"/>
        <v>0</v>
      </c>
      <c r="AR360" s="32" t="s">
        <v>334</v>
      </c>
      <c r="AS360" s="57">
        <v>37077</v>
      </c>
      <c r="AT360" s="57"/>
      <c r="AU360" s="57"/>
      <c r="AV360" s="57">
        <v>3850.67</v>
      </c>
      <c r="AW360" s="57"/>
      <c r="AZ360" s="32" t="s">
        <v>334</v>
      </c>
      <c r="BA360" s="57">
        <v>37077</v>
      </c>
      <c r="BB360" s="57"/>
      <c r="BC360" s="57"/>
      <c r="BD360" s="57">
        <v>3850.67</v>
      </c>
      <c r="BE360" s="57"/>
      <c r="BF360" s="50"/>
      <c r="BG360" s="43"/>
      <c r="BH360" s="32" t="s">
        <v>334</v>
      </c>
      <c r="BI360" s="33">
        <v>25767.89</v>
      </c>
      <c r="BJ360" s="33">
        <v>0</v>
      </c>
      <c r="BK360" s="33">
        <v>0</v>
      </c>
      <c r="BL360" s="33">
        <v>3702.4</v>
      </c>
      <c r="BM360" s="33">
        <v>0</v>
      </c>
    </row>
    <row r="361" spans="1:65" ht="21.75">
      <c r="A361" s="15" t="s">
        <v>207</v>
      </c>
      <c r="B361" s="62" t="s">
        <v>105</v>
      </c>
      <c r="C361" s="29">
        <f t="shared" si="137"/>
        <v>28379.120000000003</v>
      </c>
      <c r="D361" s="21">
        <f t="shared" si="138"/>
        <v>0</v>
      </c>
      <c r="E361" s="15">
        <f t="shared" si="150"/>
        <v>28379.120000000003</v>
      </c>
      <c r="F361" s="15"/>
      <c r="G361" s="15">
        <f t="shared" si="139"/>
        <v>0</v>
      </c>
      <c r="H361" s="21">
        <f t="shared" si="140"/>
        <v>0</v>
      </c>
      <c r="I361" s="15">
        <f t="shared" si="141"/>
        <v>0</v>
      </c>
      <c r="J361" s="21">
        <f t="shared" si="142"/>
        <v>0</v>
      </c>
      <c r="K361" s="15">
        <f t="shared" si="143"/>
        <v>0</v>
      </c>
      <c r="L361" s="15">
        <f t="shared" si="144"/>
        <v>0</v>
      </c>
      <c r="M361" s="15"/>
      <c r="N361" s="15">
        <f t="shared" si="145"/>
        <v>28379.120000000003</v>
      </c>
      <c r="O361" s="15">
        <f t="shared" si="146"/>
        <v>24141.208000000002</v>
      </c>
      <c r="P361" s="15"/>
      <c r="Q361" s="30" t="s">
        <v>44</v>
      </c>
      <c r="R361" s="15"/>
      <c r="S361" s="76">
        <f t="shared" si="147"/>
        <v>6175</v>
      </c>
      <c r="T361" s="15">
        <f t="shared" si="148"/>
        <v>618</v>
      </c>
      <c r="U361" s="15">
        <f t="shared" si="149"/>
        <v>6793</v>
      </c>
      <c r="V361" s="15"/>
      <c r="W361" s="15" t="s">
        <v>207</v>
      </c>
      <c r="X361" s="15">
        <f t="shared" si="151"/>
        <v>6175</v>
      </c>
      <c r="Y361" s="15">
        <v>5757</v>
      </c>
      <c r="Z361" s="15">
        <v>5436</v>
      </c>
      <c r="AA361" s="15">
        <v>5095</v>
      </c>
      <c r="AB361" s="40">
        <v>4633</v>
      </c>
      <c r="AC361" s="15">
        <f t="shared" si="152"/>
        <v>341</v>
      </c>
      <c r="AD361" s="1"/>
      <c r="AE361" s="3">
        <v>1</v>
      </c>
      <c r="AF361" s="1" t="s">
        <v>207</v>
      </c>
      <c r="AG361" s="1">
        <v>5095</v>
      </c>
      <c r="AJ361" s="86"/>
      <c r="AK361" s="91">
        <f t="shared" si="153"/>
        <v>28379.120000000003</v>
      </c>
      <c r="AL361" s="91">
        <f t="shared" si="154"/>
        <v>0</v>
      </c>
      <c r="AM361" s="91">
        <f t="shared" si="155"/>
        <v>0</v>
      </c>
      <c r="AN361" s="91">
        <f t="shared" si="156"/>
        <v>0</v>
      </c>
      <c r="AO361" s="91">
        <f t="shared" si="157"/>
        <v>0</v>
      </c>
      <c r="AR361" s="32" t="s">
        <v>341</v>
      </c>
      <c r="AS361" s="65">
        <f>25799.2*1.1</f>
        <v>28379.120000000003</v>
      </c>
      <c r="AT361" s="57"/>
      <c r="AU361" s="57"/>
      <c r="AV361" s="57"/>
      <c r="AW361" s="57"/>
      <c r="AZ361" s="32" t="s">
        <v>341</v>
      </c>
      <c r="BA361" s="57"/>
      <c r="BB361" s="57"/>
      <c r="BC361" s="57"/>
      <c r="BD361" s="57"/>
      <c r="BE361" s="57"/>
      <c r="BF361" s="50"/>
      <c r="BG361" s="43"/>
      <c r="BH361" s="32" t="s">
        <v>341</v>
      </c>
      <c r="BI361" s="33">
        <f>33089-7289.8</f>
        <v>25799.2</v>
      </c>
      <c r="BJ361" s="33">
        <v>0</v>
      </c>
      <c r="BK361" s="33">
        <v>0</v>
      </c>
      <c r="BL361" s="33">
        <v>0</v>
      </c>
      <c r="BM361" s="33">
        <v>0</v>
      </c>
    </row>
    <row r="362" spans="1:65" ht="21.75">
      <c r="A362" s="15" t="s">
        <v>208</v>
      </c>
      <c r="B362" s="62" t="s">
        <v>105</v>
      </c>
      <c r="C362" s="29">
        <f t="shared" si="137"/>
        <v>31358.08</v>
      </c>
      <c r="D362" s="21">
        <f t="shared" si="138"/>
        <v>0</v>
      </c>
      <c r="E362" s="15">
        <f t="shared" si="150"/>
        <v>31358.08</v>
      </c>
      <c r="F362" s="15"/>
      <c r="G362" s="15">
        <f t="shared" si="139"/>
        <v>0</v>
      </c>
      <c r="H362" s="21">
        <f t="shared" si="140"/>
        <v>3850.67</v>
      </c>
      <c r="I362" s="15">
        <f t="shared" si="141"/>
        <v>1925.335</v>
      </c>
      <c r="J362" s="21">
        <f t="shared" si="142"/>
        <v>0</v>
      </c>
      <c r="K362" s="15">
        <f t="shared" si="143"/>
        <v>0</v>
      </c>
      <c r="L362" s="15">
        <f t="shared" si="144"/>
        <v>1925.335</v>
      </c>
      <c r="M362" s="15"/>
      <c r="N362" s="15">
        <f t="shared" si="145"/>
        <v>29432.745000000003</v>
      </c>
      <c r="O362" s="15">
        <f t="shared" si="146"/>
        <v>25089.470500000003</v>
      </c>
      <c r="P362" s="15"/>
      <c r="Q362" s="30" t="s">
        <v>44</v>
      </c>
      <c r="R362" s="15"/>
      <c r="S362" s="76">
        <f t="shared" si="147"/>
        <v>6417</v>
      </c>
      <c r="T362" s="15">
        <f t="shared" si="148"/>
        <v>642</v>
      </c>
      <c r="U362" s="15">
        <f t="shared" si="149"/>
        <v>7059</v>
      </c>
      <c r="V362" s="15"/>
      <c r="W362" s="15" t="s">
        <v>208</v>
      </c>
      <c r="X362" s="15">
        <f t="shared" si="151"/>
        <v>6417</v>
      </c>
      <c r="Y362" s="15">
        <v>5983</v>
      </c>
      <c r="Z362" s="15">
        <v>4850</v>
      </c>
      <c r="AA362" s="15">
        <v>5242</v>
      </c>
      <c r="AB362" s="40">
        <v>5827</v>
      </c>
      <c r="AC362" s="15">
        <f t="shared" si="152"/>
        <v>-392</v>
      </c>
      <c r="AD362" s="1"/>
      <c r="AE362" s="3">
        <v>1</v>
      </c>
      <c r="AF362" s="1" t="s">
        <v>208</v>
      </c>
      <c r="AG362" s="1">
        <v>5242</v>
      </c>
      <c r="AJ362" s="89"/>
      <c r="AK362" s="91">
        <f t="shared" si="153"/>
        <v>31358.08</v>
      </c>
      <c r="AL362" s="91">
        <f t="shared" si="154"/>
        <v>0</v>
      </c>
      <c r="AM362" s="91">
        <f t="shared" si="155"/>
        <v>0</v>
      </c>
      <c r="AN362" s="91">
        <f t="shared" si="156"/>
        <v>3850.67</v>
      </c>
      <c r="AO362" s="91">
        <f t="shared" si="157"/>
        <v>0</v>
      </c>
      <c r="AR362" s="32" t="s">
        <v>335</v>
      </c>
      <c r="AS362" s="57">
        <v>31358.08</v>
      </c>
      <c r="AT362" s="57"/>
      <c r="AU362" s="57"/>
      <c r="AV362" s="57">
        <v>3850.67</v>
      </c>
      <c r="AW362" s="57"/>
      <c r="AZ362" s="32" t="s">
        <v>335</v>
      </c>
      <c r="BA362" s="57">
        <v>31358.08</v>
      </c>
      <c r="BB362" s="57"/>
      <c r="BC362" s="57"/>
      <c r="BD362" s="57">
        <v>3850.67</v>
      </c>
      <c r="BE362" s="57"/>
      <c r="BF362" s="50"/>
      <c r="BG362" s="43"/>
      <c r="BH362" s="32" t="s">
        <v>335</v>
      </c>
      <c r="BI362" s="33">
        <v>31677.64</v>
      </c>
      <c r="BJ362" s="33">
        <v>0</v>
      </c>
      <c r="BK362" s="33">
        <v>0</v>
      </c>
      <c r="BL362" s="33">
        <v>16977.2</v>
      </c>
      <c r="BM362" s="33">
        <v>0</v>
      </c>
    </row>
    <row r="363" spans="1:65" ht="21.75">
      <c r="A363" s="15" t="s">
        <v>219</v>
      </c>
      <c r="B363" s="62" t="s">
        <v>105</v>
      </c>
      <c r="C363" s="29">
        <f t="shared" si="137"/>
        <v>58654</v>
      </c>
      <c r="D363" s="21">
        <f t="shared" si="138"/>
        <v>0</v>
      </c>
      <c r="E363" s="15">
        <f t="shared" si="150"/>
        <v>58654</v>
      </c>
      <c r="F363" s="15"/>
      <c r="G363" s="15">
        <f t="shared" si="139"/>
        <v>0</v>
      </c>
      <c r="H363" s="21">
        <f t="shared" si="140"/>
        <v>16980</v>
      </c>
      <c r="I363" s="15">
        <f t="shared" si="141"/>
        <v>8490</v>
      </c>
      <c r="J363" s="21">
        <f t="shared" si="142"/>
        <v>0</v>
      </c>
      <c r="K363" s="15">
        <f>J363*0.25</f>
        <v>0</v>
      </c>
      <c r="L363" s="15">
        <f>+G363+I363+K363</f>
        <v>8490</v>
      </c>
      <c r="M363" s="15"/>
      <c r="N363" s="15">
        <f>E363-L363</f>
        <v>50164</v>
      </c>
      <c r="O363" s="15">
        <f>IF(N363&gt;=4000,(N363-4000)*0.9+2200,IF(N363&gt;=3000,(N363-3000)*0.8+1400,IF(N363&gt;=2000,(N363-2000)*0.6+800,IF(N363&gt;0,N363*0.4,0))))</f>
        <v>43747.6</v>
      </c>
      <c r="P363" s="15"/>
      <c r="Q363" s="30" t="s">
        <v>44</v>
      </c>
      <c r="R363" s="15"/>
      <c r="S363" s="76">
        <f>ROUND(SUM(O363*$Q$10),0)</f>
        <v>11190</v>
      </c>
      <c r="T363" s="15">
        <f>ROUND(SUM(S363*0.1),0)</f>
        <v>1119</v>
      </c>
      <c r="U363" s="15">
        <f>SUM(S363:T363)</f>
        <v>12309</v>
      </c>
      <c r="V363" s="15"/>
      <c r="W363" s="15" t="s">
        <v>512</v>
      </c>
      <c r="X363" s="15">
        <f t="shared" si="151"/>
        <v>11190</v>
      </c>
      <c r="Y363" s="15">
        <v>10433</v>
      </c>
      <c r="Z363" s="15">
        <v>10898</v>
      </c>
      <c r="AA363" s="15">
        <v>7868</v>
      </c>
      <c r="AB363" s="40">
        <v>7645</v>
      </c>
      <c r="AC363" s="15">
        <f t="shared" si="152"/>
        <v>3030</v>
      </c>
      <c r="AD363" s="1"/>
      <c r="AE363" s="3">
        <v>1</v>
      </c>
      <c r="AF363" s="1" t="s">
        <v>219</v>
      </c>
      <c r="AG363" s="1">
        <v>7868</v>
      </c>
      <c r="AJ363" s="86"/>
      <c r="AK363" s="91">
        <f t="shared" si="153"/>
        <v>58654</v>
      </c>
      <c r="AL363" s="91">
        <f t="shared" si="154"/>
        <v>0</v>
      </c>
      <c r="AM363" s="91">
        <f t="shared" si="155"/>
        <v>0</v>
      </c>
      <c r="AN363" s="91">
        <f t="shared" si="156"/>
        <v>16980</v>
      </c>
      <c r="AO363" s="91">
        <f t="shared" si="157"/>
        <v>0</v>
      </c>
      <c r="AR363" s="32" t="s">
        <v>486</v>
      </c>
      <c r="AS363" s="65">
        <v>58654</v>
      </c>
      <c r="AT363" s="57"/>
      <c r="AU363" s="57"/>
      <c r="AV363" s="65">
        <v>16980</v>
      </c>
      <c r="AW363" s="57"/>
      <c r="AZ363" s="32" t="s">
        <v>486</v>
      </c>
      <c r="BA363" s="57"/>
      <c r="BB363" s="57"/>
      <c r="BC363" s="57"/>
      <c r="BD363" s="57"/>
      <c r="BE363" s="57"/>
      <c r="BF363" s="50"/>
      <c r="BG363" s="43"/>
      <c r="BH363" s="32" t="s">
        <v>486</v>
      </c>
      <c r="BI363" s="33">
        <v>58654</v>
      </c>
      <c r="BJ363" s="33">
        <v>0</v>
      </c>
      <c r="BK363" s="33">
        <v>0</v>
      </c>
      <c r="BL363" s="33">
        <v>16980</v>
      </c>
      <c r="BM363" s="33">
        <v>0</v>
      </c>
    </row>
    <row r="364" spans="1:65" ht="21.75">
      <c r="A364" s="15" t="s">
        <v>190</v>
      </c>
      <c r="B364" s="62" t="s">
        <v>105</v>
      </c>
      <c r="C364" s="29">
        <f t="shared" si="137"/>
        <v>41691</v>
      </c>
      <c r="D364" s="21">
        <f t="shared" si="138"/>
        <v>0</v>
      </c>
      <c r="E364" s="15">
        <f t="shared" si="150"/>
        <v>41691</v>
      </c>
      <c r="F364" s="15"/>
      <c r="G364" s="15">
        <f t="shared" si="139"/>
        <v>0</v>
      </c>
      <c r="H364" s="21">
        <f t="shared" si="140"/>
        <v>0</v>
      </c>
      <c r="I364" s="15">
        <f t="shared" si="141"/>
        <v>0</v>
      </c>
      <c r="J364" s="21">
        <f t="shared" si="142"/>
        <v>0</v>
      </c>
      <c r="K364" s="15">
        <f>J364*0.25</f>
        <v>0</v>
      </c>
      <c r="L364" s="15">
        <f>+G364+I364+K364</f>
        <v>0</v>
      </c>
      <c r="M364" s="15"/>
      <c r="N364" s="15">
        <f>E364-L364</f>
        <v>41691</v>
      </c>
      <c r="O364" s="15">
        <f>IF(N364&gt;=4000,(N364-4000)*0.9+2200,IF(N364&gt;=3000,(N364-3000)*0.8+1400,IF(N364&gt;=2000,(N364-2000)*0.6+800,IF(N364&gt;0,N364*0.4,0))))</f>
        <v>36121.9</v>
      </c>
      <c r="P364" s="15"/>
      <c r="Q364" s="30" t="s">
        <v>44</v>
      </c>
      <c r="R364" s="15"/>
      <c r="S364" s="76">
        <f>ROUND(SUM(O364*$Q$10),0)</f>
        <v>9239</v>
      </c>
      <c r="T364" s="15">
        <f>ROUND(SUM(S364*0.1),0)</f>
        <v>924</v>
      </c>
      <c r="U364" s="15">
        <f>SUM(S364:T364)</f>
        <v>10163</v>
      </c>
      <c r="V364" s="15"/>
      <c r="W364" s="15" t="s">
        <v>190</v>
      </c>
      <c r="X364" s="15">
        <f t="shared" si="151"/>
        <v>9239</v>
      </c>
      <c r="Y364" s="15">
        <v>8614</v>
      </c>
      <c r="Z364" s="15">
        <v>7229</v>
      </c>
      <c r="AA364" s="15">
        <v>6474</v>
      </c>
      <c r="AB364" s="40">
        <v>6936</v>
      </c>
      <c r="AC364" s="15">
        <f t="shared" si="152"/>
        <v>755</v>
      </c>
      <c r="AD364" s="1"/>
      <c r="AE364" s="3">
        <v>1</v>
      </c>
      <c r="AF364" s="1" t="s">
        <v>190</v>
      </c>
      <c r="AG364" s="1">
        <v>6474</v>
      </c>
      <c r="AI364" s="39"/>
      <c r="AJ364" s="86"/>
      <c r="AK364" s="91">
        <f t="shared" si="153"/>
        <v>41691</v>
      </c>
      <c r="AL364" s="91">
        <f t="shared" si="154"/>
        <v>0</v>
      </c>
      <c r="AM364" s="91">
        <f t="shared" si="155"/>
        <v>0</v>
      </c>
      <c r="AN364" s="91">
        <f t="shared" si="156"/>
        <v>0</v>
      </c>
      <c r="AO364" s="91">
        <f t="shared" si="157"/>
        <v>0</v>
      </c>
      <c r="AR364" s="32" t="s">
        <v>388</v>
      </c>
      <c r="AS364" s="57">
        <v>41691</v>
      </c>
      <c r="AT364" s="57">
        <v>0</v>
      </c>
      <c r="AU364" s="57">
        <v>0</v>
      </c>
      <c r="AV364" s="57">
        <v>0</v>
      </c>
      <c r="AW364" s="57">
        <v>0</v>
      </c>
      <c r="AZ364" s="32" t="s">
        <v>388</v>
      </c>
      <c r="BA364" s="57">
        <v>41691</v>
      </c>
      <c r="BB364" s="57">
        <v>0</v>
      </c>
      <c r="BC364" s="57">
        <v>0</v>
      </c>
      <c r="BD364" s="57">
        <v>0</v>
      </c>
      <c r="BE364" s="57">
        <v>0</v>
      </c>
      <c r="BF364" s="50"/>
      <c r="BG364" s="43"/>
      <c r="BH364" s="32" t="s">
        <v>388</v>
      </c>
      <c r="BI364" s="43">
        <f>32612*1.1</f>
        <v>35873.200000000004</v>
      </c>
      <c r="BJ364" s="43">
        <v>0</v>
      </c>
      <c r="BK364" s="43">
        <v>0</v>
      </c>
      <c r="BL364" s="43">
        <f>4068*1.02</f>
        <v>4149.36</v>
      </c>
      <c r="BM364" s="43">
        <v>0</v>
      </c>
    </row>
    <row r="365" spans="1:65" ht="21">
      <c r="A365" s="15" t="s">
        <v>141</v>
      </c>
      <c r="B365" s="28"/>
      <c r="C365" s="29">
        <f t="shared" si="137"/>
        <v>152116</v>
      </c>
      <c r="D365" s="21">
        <f t="shared" si="138"/>
        <v>0</v>
      </c>
      <c r="E365" s="15">
        <f t="shared" si="150"/>
        <v>152116</v>
      </c>
      <c r="F365" s="15"/>
      <c r="G365" s="15">
        <f t="shared" si="139"/>
        <v>0</v>
      </c>
      <c r="H365" s="21">
        <f t="shared" si="140"/>
        <v>16133</v>
      </c>
      <c r="I365" s="15">
        <f t="shared" si="141"/>
        <v>8066.5</v>
      </c>
      <c r="J365" s="21">
        <f t="shared" si="142"/>
        <v>0</v>
      </c>
      <c r="K365" s="15">
        <f t="shared" si="143"/>
        <v>0</v>
      </c>
      <c r="L365" s="15">
        <f t="shared" si="144"/>
        <v>8066.5</v>
      </c>
      <c r="M365" s="15"/>
      <c r="N365" s="15">
        <f t="shared" si="145"/>
        <v>144049.5</v>
      </c>
      <c r="O365" s="15">
        <f t="shared" si="146"/>
        <v>128244.55</v>
      </c>
      <c r="P365" s="15"/>
      <c r="Q365" s="30" t="s">
        <v>44</v>
      </c>
      <c r="R365" s="15"/>
      <c r="S365" s="76">
        <f t="shared" si="147"/>
        <v>32802</v>
      </c>
      <c r="T365" s="15">
        <f t="shared" si="148"/>
        <v>3280</v>
      </c>
      <c r="U365" s="15">
        <f t="shared" si="149"/>
        <v>36082</v>
      </c>
      <c r="V365" s="15"/>
      <c r="W365" s="15" t="s">
        <v>141</v>
      </c>
      <c r="X365" s="15">
        <f t="shared" si="151"/>
        <v>32802</v>
      </c>
      <c r="Y365" s="15">
        <v>31769</v>
      </c>
      <c r="Z365" s="15">
        <v>32135</v>
      </c>
      <c r="AA365" s="15">
        <v>33059</v>
      </c>
      <c r="AB365" s="40">
        <v>27261</v>
      </c>
      <c r="AC365" s="15">
        <f t="shared" si="152"/>
        <v>-924</v>
      </c>
      <c r="AD365" s="1"/>
      <c r="AE365" s="3">
        <v>1</v>
      </c>
      <c r="AF365" s="1" t="s">
        <v>141</v>
      </c>
      <c r="AG365" s="1">
        <v>33059</v>
      </c>
      <c r="AJ365" s="81" t="s">
        <v>333</v>
      </c>
      <c r="AK365" s="84">
        <v>152116</v>
      </c>
      <c r="AN365" s="84">
        <v>16133</v>
      </c>
      <c r="AR365" s="32" t="s">
        <v>333</v>
      </c>
      <c r="AS365" s="57">
        <v>160067</v>
      </c>
      <c r="AT365" s="57">
        <v>0</v>
      </c>
      <c r="AU365" s="57">
        <v>0</v>
      </c>
      <c r="AV365" s="57">
        <v>15792</v>
      </c>
      <c r="AW365" s="57">
        <v>10386</v>
      </c>
      <c r="AZ365" s="32" t="s">
        <v>333</v>
      </c>
      <c r="BA365" s="57">
        <v>160067</v>
      </c>
      <c r="BB365" s="57">
        <v>0</v>
      </c>
      <c r="BC365" s="57">
        <v>0</v>
      </c>
      <c r="BD365" s="57">
        <v>15792</v>
      </c>
      <c r="BE365" s="57">
        <v>10386</v>
      </c>
      <c r="BF365" s="50"/>
      <c r="BG365" s="43"/>
      <c r="BH365" s="32" t="s">
        <v>333</v>
      </c>
      <c r="BI365" s="33">
        <v>155858</v>
      </c>
      <c r="BJ365" s="33">
        <v>0</v>
      </c>
      <c r="BK365" s="33">
        <v>0</v>
      </c>
      <c r="BL365" s="33">
        <v>15420</v>
      </c>
      <c r="BM365" s="33">
        <v>13063</v>
      </c>
    </row>
    <row r="366" spans="1:65" ht="21">
      <c r="A366" s="49" t="s">
        <v>395</v>
      </c>
      <c r="B366" s="28"/>
      <c r="C366" s="29">
        <f t="shared" si="137"/>
        <v>70179</v>
      </c>
      <c r="D366" s="21">
        <f t="shared" si="138"/>
        <v>0</v>
      </c>
      <c r="E366" s="15">
        <f t="shared" si="150"/>
        <v>70179</v>
      </c>
      <c r="F366" s="15"/>
      <c r="G366" s="15">
        <f t="shared" si="139"/>
        <v>0</v>
      </c>
      <c r="H366" s="21">
        <f t="shared" si="140"/>
        <v>5139</v>
      </c>
      <c r="I366" s="15">
        <f t="shared" si="141"/>
        <v>2569.5</v>
      </c>
      <c r="J366" s="21">
        <f t="shared" si="142"/>
        <v>0</v>
      </c>
      <c r="K366" s="15">
        <f t="shared" si="143"/>
        <v>0</v>
      </c>
      <c r="L366" s="15">
        <f t="shared" si="144"/>
        <v>2569.5</v>
      </c>
      <c r="M366" s="15"/>
      <c r="N366" s="15">
        <f t="shared" si="145"/>
        <v>67609.5</v>
      </c>
      <c r="O366" s="15">
        <f t="shared" si="146"/>
        <v>59448.55</v>
      </c>
      <c r="P366" s="15"/>
      <c r="Q366" s="30" t="s">
        <v>44</v>
      </c>
      <c r="R366" s="15"/>
      <c r="S366" s="76">
        <f t="shared" si="147"/>
        <v>15206</v>
      </c>
      <c r="T366" s="15">
        <f t="shared" si="148"/>
        <v>1521</v>
      </c>
      <c r="U366" s="15">
        <f t="shared" si="149"/>
        <v>16727</v>
      </c>
      <c r="V366" s="15"/>
      <c r="W366" s="49" t="s">
        <v>395</v>
      </c>
      <c r="X366" s="15">
        <f t="shared" si="151"/>
        <v>15206</v>
      </c>
      <c r="Y366" s="15">
        <v>20483</v>
      </c>
      <c r="Z366" s="15">
        <v>20278</v>
      </c>
      <c r="AA366" s="15">
        <v>14000</v>
      </c>
      <c r="AB366" s="40">
        <v>14000</v>
      </c>
      <c r="AC366" s="15">
        <f t="shared" si="152"/>
        <v>6278</v>
      </c>
      <c r="AD366" s="1"/>
      <c r="AE366" s="3">
        <v>1</v>
      </c>
      <c r="AF366" s="1" t="s">
        <v>391</v>
      </c>
      <c r="AG366" s="1">
        <v>14000</v>
      </c>
      <c r="AJ366" s="81" t="s">
        <v>484</v>
      </c>
      <c r="AK366" s="83">
        <v>70179</v>
      </c>
      <c r="AL366" s="81">
        <v>0</v>
      </c>
      <c r="AM366" s="81">
        <v>0</v>
      </c>
      <c r="AN366" s="83">
        <v>5139</v>
      </c>
      <c r="AO366" s="81">
        <v>0</v>
      </c>
      <c r="AR366" s="32" t="s">
        <v>342</v>
      </c>
      <c r="AS366" s="57">
        <v>103260</v>
      </c>
      <c r="AT366" s="57">
        <v>0</v>
      </c>
      <c r="AU366" s="57">
        <v>0</v>
      </c>
      <c r="AV366" s="57">
        <v>12533</v>
      </c>
      <c r="AW366" s="57">
        <v>0</v>
      </c>
      <c r="AZ366" s="32" t="s">
        <v>484</v>
      </c>
      <c r="BA366" s="57">
        <v>103260</v>
      </c>
      <c r="BB366" s="57">
        <v>0</v>
      </c>
      <c r="BC366" s="57">
        <v>0</v>
      </c>
      <c r="BD366" s="57">
        <v>12533</v>
      </c>
      <c r="BE366" s="57">
        <v>0</v>
      </c>
      <c r="BF366" s="50"/>
      <c r="BG366" s="43"/>
      <c r="BH366" s="32" t="s">
        <v>342</v>
      </c>
      <c r="BI366" s="33">
        <v>98000</v>
      </c>
      <c r="BJ366" s="33">
        <v>0</v>
      </c>
      <c r="BK366" s="33">
        <v>0</v>
      </c>
      <c r="BL366" s="33">
        <v>12002</v>
      </c>
      <c r="BM366" s="33">
        <v>0</v>
      </c>
    </row>
    <row r="367" spans="1:65" ht="21">
      <c r="A367" s="15" t="s">
        <v>192</v>
      </c>
      <c r="B367" s="28"/>
      <c r="C367" s="29">
        <f t="shared" si="137"/>
        <v>173220</v>
      </c>
      <c r="D367" s="21">
        <f t="shared" si="138"/>
        <v>0</v>
      </c>
      <c r="E367" s="15">
        <f t="shared" si="150"/>
        <v>173220</v>
      </c>
      <c r="F367" s="15"/>
      <c r="G367" s="15">
        <f t="shared" si="139"/>
        <v>0</v>
      </c>
      <c r="H367" s="21">
        <f t="shared" si="140"/>
        <v>17500</v>
      </c>
      <c r="I367" s="15">
        <f t="shared" si="141"/>
        <v>8750</v>
      </c>
      <c r="J367" s="21">
        <f t="shared" si="142"/>
        <v>0</v>
      </c>
      <c r="K367" s="15">
        <f t="shared" si="143"/>
        <v>0</v>
      </c>
      <c r="L367" s="15">
        <f t="shared" si="144"/>
        <v>8750</v>
      </c>
      <c r="M367" s="15"/>
      <c r="N367" s="15">
        <f t="shared" si="145"/>
        <v>164470</v>
      </c>
      <c r="O367" s="15">
        <f t="shared" si="146"/>
        <v>146623</v>
      </c>
      <c r="P367" s="15"/>
      <c r="Q367" s="30" t="s">
        <v>44</v>
      </c>
      <c r="R367" s="15"/>
      <c r="S367" s="76">
        <f t="shared" si="147"/>
        <v>37503</v>
      </c>
      <c r="T367" s="15">
        <f t="shared" si="148"/>
        <v>3750</v>
      </c>
      <c r="U367" s="15">
        <f t="shared" si="149"/>
        <v>41253</v>
      </c>
      <c r="V367" s="15"/>
      <c r="W367" s="15" t="s">
        <v>192</v>
      </c>
      <c r="X367" s="15">
        <f t="shared" si="151"/>
        <v>37503</v>
      </c>
      <c r="Y367" s="15">
        <v>34258</v>
      </c>
      <c r="Z367" s="15">
        <v>30710</v>
      </c>
      <c r="AA367" s="15">
        <v>36329</v>
      </c>
      <c r="AB367" s="40">
        <v>41011</v>
      </c>
      <c r="AC367" s="15">
        <f t="shared" si="152"/>
        <v>-5619</v>
      </c>
      <c r="AD367" s="1"/>
      <c r="AE367" s="3">
        <v>1</v>
      </c>
      <c r="AF367" s="1" t="s">
        <v>192</v>
      </c>
      <c r="AG367" s="1">
        <v>36329</v>
      </c>
      <c r="AJ367" s="81" t="s">
        <v>337</v>
      </c>
      <c r="AK367" s="81">
        <v>173220</v>
      </c>
      <c r="AL367" s="81">
        <v>0</v>
      </c>
      <c r="AM367" s="81">
        <v>0</v>
      </c>
      <c r="AN367" s="81">
        <v>17500</v>
      </c>
      <c r="AO367" s="81">
        <v>0</v>
      </c>
      <c r="AR367" s="32" t="s">
        <v>337</v>
      </c>
      <c r="AS367" s="57">
        <v>169006.25</v>
      </c>
      <c r="AT367" s="57"/>
      <c r="AU367" s="57"/>
      <c r="AV367" s="57">
        <v>15663</v>
      </c>
      <c r="AW367" s="57"/>
      <c r="AZ367" s="32" t="s">
        <v>487</v>
      </c>
      <c r="BA367" s="57">
        <v>169006.25</v>
      </c>
      <c r="BB367" s="57"/>
      <c r="BC367" s="57"/>
      <c r="BD367" s="57">
        <v>15663</v>
      </c>
      <c r="BE367" s="57"/>
      <c r="BF367" s="50"/>
      <c r="BG367" s="43"/>
      <c r="BH367" s="32" t="s">
        <v>337</v>
      </c>
      <c r="BI367" s="33">
        <v>141434.03</v>
      </c>
      <c r="BJ367" s="33">
        <v>0</v>
      </c>
      <c r="BK367" s="33">
        <v>0</v>
      </c>
      <c r="BL367" s="33">
        <v>5820.03</v>
      </c>
      <c r="BM367" s="33">
        <v>0</v>
      </c>
    </row>
    <row r="368" spans="1:65" ht="21.75">
      <c r="A368" s="15" t="s">
        <v>142</v>
      </c>
      <c r="B368" s="62" t="s">
        <v>105</v>
      </c>
      <c r="C368" s="29">
        <f t="shared" si="137"/>
        <v>155565</v>
      </c>
      <c r="D368" s="21">
        <f t="shared" si="138"/>
        <v>0</v>
      </c>
      <c r="E368" s="15">
        <f t="shared" si="150"/>
        <v>155565</v>
      </c>
      <c r="F368" s="15"/>
      <c r="G368" s="15">
        <f t="shared" si="139"/>
        <v>0</v>
      </c>
      <c r="H368" s="21">
        <f t="shared" si="140"/>
        <v>20450</v>
      </c>
      <c r="I368" s="15">
        <f t="shared" si="141"/>
        <v>10225</v>
      </c>
      <c r="J368" s="21">
        <f t="shared" si="142"/>
        <v>0</v>
      </c>
      <c r="K368" s="15">
        <f t="shared" si="143"/>
        <v>0</v>
      </c>
      <c r="L368" s="15">
        <f t="shared" si="144"/>
        <v>10225</v>
      </c>
      <c r="M368" s="15"/>
      <c r="N368" s="15">
        <f t="shared" si="145"/>
        <v>145340</v>
      </c>
      <c r="O368" s="15">
        <f t="shared" si="146"/>
        <v>129406</v>
      </c>
      <c r="P368" s="15"/>
      <c r="Q368" s="30" t="s">
        <v>44</v>
      </c>
      <c r="R368" s="15"/>
      <c r="S368" s="76">
        <f t="shared" si="147"/>
        <v>33099</v>
      </c>
      <c r="T368" s="15">
        <f t="shared" si="148"/>
        <v>3310</v>
      </c>
      <c r="U368" s="15">
        <f t="shared" si="149"/>
        <v>36409</v>
      </c>
      <c r="V368" s="15"/>
      <c r="W368" s="15" t="s">
        <v>142</v>
      </c>
      <c r="X368" s="15">
        <f t="shared" si="151"/>
        <v>33099</v>
      </c>
      <c r="Y368" s="15">
        <v>30860</v>
      </c>
      <c r="Z368" s="15">
        <v>30579</v>
      </c>
      <c r="AA368" s="15">
        <v>31225</v>
      </c>
      <c r="AB368" s="40">
        <v>30698</v>
      </c>
      <c r="AC368" s="15">
        <f t="shared" si="152"/>
        <v>-646</v>
      </c>
      <c r="AD368" s="1"/>
      <c r="AE368" s="3">
        <v>1</v>
      </c>
      <c r="AF368" s="1" t="s">
        <v>142</v>
      </c>
      <c r="AG368" s="1">
        <v>31225</v>
      </c>
      <c r="AJ368" s="86"/>
      <c r="AK368" s="91">
        <f>AS368</f>
        <v>155565</v>
      </c>
      <c r="AL368" s="91">
        <f>AT368</f>
        <v>0</v>
      </c>
      <c r="AM368" s="91">
        <f>AU368</f>
        <v>0</v>
      </c>
      <c r="AN368" s="91">
        <f>AV368</f>
        <v>20450</v>
      </c>
      <c r="AO368" s="91">
        <f>AW368</f>
        <v>0</v>
      </c>
      <c r="AR368" s="32" t="s">
        <v>340</v>
      </c>
      <c r="AS368" s="57">
        <v>155565</v>
      </c>
      <c r="AT368" s="57">
        <v>0</v>
      </c>
      <c r="AU368" s="57">
        <v>0</v>
      </c>
      <c r="AV368" s="57">
        <v>20450</v>
      </c>
      <c r="AW368" s="57">
        <v>0</v>
      </c>
      <c r="AZ368" s="32" t="s">
        <v>340</v>
      </c>
      <c r="BA368" s="57">
        <v>155565</v>
      </c>
      <c r="BB368" s="57">
        <v>0</v>
      </c>
      <c r="BC368" s="57">
        <v>0</v>
      </c>
      <c r="BD368" s="57">
        <v>20450</v>
      </c>
      <c r="BE368" s="57">
        <v>0</v>
      </c>
      <c r="BF368" s="50"/>
      <c r="BH368" s="32" t="s">
        <v>340</v>
      </c>
      <c r="BI368" s="33">
        <v>147851</v>
      </c>
      <c r="BJ368" s="33">
        <v>0</v>
      </c>
      <c r="BK368" s="33">
        <v>0</v>
      </c>
      <c r="BL368" s="33">
        <v>19823</v>
      </c>
      <c r="BM368" s="33">
        <v>0</v>
      </c>
    </row>
    <row r="369" spans="1:65" ht="21">
      <c r="A369" s="19" t="s">
        <v>3</v>
      </c>
      <c r="B369" s="15"/>
      <c r="C369" s="19" t="s">
        <v>3</v>
      </c>
      <c r="D369" s="19" t="s">
        <v>3</v>
      </c>
      <c r="E369" s="19" t="s">
        <v>3</v>
      </c>
      <c r="F369" s="15"/>
      <c r="G369" s="19" t="s">
        <v>3</v>
      </c>
      <c r="H369" s="19" t="s">
        <v>3</v>
      </c>
      <c r="I369" s="19" t="s">
        <v>3</v>
      </c>
      <c r="J369" s="19" t="s">
        <v>3</v>
      </c>
      <c r="K369" s="19" t="s">
        <v>3</v>
      </c>
      <c r="L369" s="19" t="s">
        <v>3</v>
      </c>
      <c r="M369" s="15"/>
      <c r="N369" s="19" t="s">
        <v>3</v>
      </c>
      <c r="O369" s="19" t="s">
        <v>3</v>
      </c>
      <c r="P369" s="15"/>
      <c r="Q369" s="15"/>
      <c r="R369" s="15"/>
      <c r="S369" s="78" t="s">
        <v>3</v>
      </c>
      <c r="T369" s="19" t="s">
        <v>3</v>
      </c>
      <c r="U369" s="19" t="s">
        <v>3</v>
      </c>
      <c r="V369" s="15"/>
      <c r="AB369" s="38"/>
      <c r="AC369" s="15">
        <f t="shared" si="152"/>
        <v>0</v>
      </c>
      <c r="AD369" s="1"/>
      <c r="AE369" s="1"/>
      <c r="AF369" s="1"/>
      <c r="AG369" s="1"/>
      <c r="AR369" s="32"/>
      <c r="BH369" s="32"/>
      <c r="BI369" s="33"/>
      <c r="BJ369" s="33"/>
      <c r="BK369" s="33"/>
      <c r="BL369" s="33"/>
      <c r="BM369" s="33"/>
    </row>
    <row r="370" spans="1:65" ht="21">
      <c r="A370" s="15" t="s">
        <v>48</v>
      </c>
      <c r="B370" s="15"/>
      <c r="C370" s="15">
        <f>SUM(C356:C369)</f>
        <v>992222.6699999999</v>
      </c>
      <c r="D370" s="15">
        <f>SUM(D356:D369)</f>
        <v>0</v>
      </c>
      <c r="E370" s="15">
        <f>SUM(E356:E369)</f>
        <v>992222.6699999999</v>
      </c>
      <c r="F370" s="15"/>
      <c r="G370" s="15">
        <f aca="true" t="shared" si="158" ref="G370:L370">SUM(G356:G369)</f>
        <v>0</v>
      </c>
      <c r="H370" s="15">
        <f t="shared" si="158"/>
        <v>105285.64</v>
      </c>
      <c r="I370" s="15">
        <f t="shared" si="158"/>
        <v>52642.82</v>
      </c>
      <c r="J370" s="15">
        <f t="shared" si="158"/>
        <v>0</v>
      </c>
      <c r="K370" s="15">
        <f t="shared" si="158"/>
        <v>0</v>
      </c>
      <c r="L370" s="15">
        <f t="shared" si="158"/>
        <v>52642.82</v>
      </c>
      <c r="M370" s="15"/>
      <c r="N370" s="15">
        <f>SUM(N356:N369)</f>
        <v>939579.85</v>
      </c>
      <c r="O370" s="15">
        <f>SUM(O356:O369)</f>
        <v>828821.8650000001</v>
      </c>
      <c r="P370" s="15"/>
      <c r="Q370" s="18" t="s">
        <v>49</v>
      </c>
      <c r="R370" s="15"/>
      <c r="S370" s="76">
        <f>SUM(S356:S369)</f>
        <v>211995</v>
      </c>
      <c r="T370" s="15">
        <f>SUM(T356:T369)</f>
        <v>21199</v>
      </c>
      <c r="U370" s="15">
        <f>SUM(U356:U369)</f>
        <v>233194</v>
      </c>
      <c r="V370" s="15"/>
      <c r="W370" s="15"/>
      <c r="X370" s="15">
        <f>SUM(X357:X369)</f>
        <v>211995</v>
      </c>
      <c r="Y370" s="15">
        <f>SUM(Y357:Y369)</f>
        <v>211194</v>
      </c>
      <c r="Z370" s="15">
        <f>SUM(Z357:Z369)</f>
        <v>202510</v>
      </c>
      <c r="AA370" s="15">
        <f>SUM(AA357:AA369)</f>
        <v>192054</v>
      </c>
      <c r="AB370" s="15">
        <f>SUM(AB357:AB369)</f>
        <v>185514</v>
      </c>
      <c r="AC370" s="15">
        <f t="shared" si="152"/>
        <v>10456</v>
      </c>
      <c r="AD370" s="1"/>
      <c r="AE370" s="1"/>
      <c r="AF370" s="1"/>
      <c r="AG370" s="1"/>
      <c r="AR370" s="32"/>
      <c r="BH370" s="32"/>
      <c r="BI370" s="33"/>
      <c r="BJ370" s="33"/>
      <c r="BK370" s="33"/>
      <c r="BL370" s="33"/>
      <c r="BM370" s="33"/>
    </row>
    <row r="371" spans="1:65" ht="21">
      <c r="A371" s="19" t="s">
        <v>3</v>
      </c>
      <c r="B371" s="15"/>
      <c r="C371" s="19" t="s">
        <v>3</v>
      </c>
      <c r="D371" s="19" t="s">
        <v>3</v>
      </c>
      <c r="E371" s="19" t="s">
        <v>3</v>
      </c>
      <c r="F371" s="15"/>
      <c r="G371" s="19" t="s">
        <v>3</v>
      </c>
      <c r="H371" s="19" t="s">
        <v>3</v>
      </c>
      <c r="I371" s="19" t="s">
        <v>3</v>
      </c>
      <c r="J371" s="19" t="s">
        <v>3</v>
      </c>
      <c r="K371" s="19" t="s">
        <v>3</v>
      </c>
      <c r="L371" s="19" t="s">
        <v>3</v>
      </c>
      <c r="M371" s="15"/>
      <c r="N371" s="19" t="s">
        <v>3</v>
      </c>
      <c r="O371" s="19" t="s">
        <v>3</v>
      </c>
      <c r="P371" s="15"/>
      <c r="Q371" s="15"/>
      <c r="R371" s="15"/>
      <c r="S371" s="78" t="s">
        <v>3</v>
      </c>
      <c r="T371" s="19" t="s">
        <v>3</v>
      </c>
      <c r="U371" s="19" t="s">
        <v>3</v>
      </c>
      <c r="V371" s="15"/>
      <c r="W371" s="35"/>
      <c r="X371" s="35"/>
      <c r="Y371" s="35"/>
      <c r="AB371" s="38"/>
      <c r="AC371" s="15">
        <f t="shared" si="152"/>
        <v>0</v>
      </c>
      <c r="AD371" s="1"/>
      <c r="AE371" s="1"/>
      <c r="AF371" s="1"/>
      <c r="AG371" s="1"/>
      <c r="AR371" s="32"/>
      <c r="BH371" s="32"/>
      <c r="BI371" s="33"/>
      <c r="BJ371" s="33"/>
      <c r="BK371" s="33"/>
      <c r="BL371" s="33"/>
      <c r="BM371" s="33"/>
    </row>
    <row r="372" spans="1:29" ht="2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79"/>
      <c r="T372" s="35"/>
      <c r="U372" s="35"/>
      <c r="V372" s="35"/>
      <c r="W372" s="15"/>
      <c r="X372" s="15"/>
      <c r="Y372" s="15"/>
      <c r="Z372" s="1"/>
      <c r="AA372" s="1"/>
      <c r="AB372" s="38"/>
      <c r="AC372" s="15">
        <f t="shared" si="152"/>
        <v>0</v>
      </c>
    </row>
    <row r="373" spans="1:33" ht="21">
      <c r="A373" s="15" t="s">
        <v>61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76"/>
      <c r="T373" s="15"/>
      <c r="U373" s="15"/>
      <c r="V373" s="15"/>
      <c r="W373" s="15"/>
      <c r="X373" s="15"/>
      <c r="Y373" s="15"/>
      <c r="Z373" s="1"/>
      <c r="AA373" s="1"/>
      <c r="AB373" s="38"/>
      <c r="AC373" s="15">
        <f t="shared" si="152"/>
        <v>0</v>
      </c>
      <c r="AD373" s="1"/>
      <c r="AE373" s="1"/>
      <c r="AF373" s="1"/>
      <c r="AG373" s="1"/>
    </row>
    <row r="374" spans="1:33" ht="21">
      <c r="A374" s="15" t="s">
        <v>187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76"/>
      <c r="T374" s="15"/>
      <c r="U374" s="15"/>
      <c r="V374" s="15"/>
      <c r="W374" s="15"/>
      <c r="X374" s="15"/>
      <c r="Y374" s="15"/>
      <c r="Z374" s="1"/>
      <c r="AA374" s="1"/>
      <c r="AB374" s="38"/>
      <c r="AC374" s="15">
        <f t="shared" si="152"/>
        <v>0</v>
      </c>
      <c r="AD374" s="1"/>
      <c r="AE374" s="1"/>
      <c r="AF374" s="1"/>
      <c r="AG374" s="1"/>
    </row>
    <row r="375" spans="1:33" ht="21">
      <c r="A375" s="15" t="s">
        <v>63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76"/>
      <c r="T375" s="15"/>
      <c r="U375" s="15"/>
      <c r="V375" s="15"/>
      <c r="W375" s="15"/>
      <c r="X375" s="15"/>
      <c r="Y375" s="15"/>
      <c r="Z375" s="1"/>
      <c r="AA375" s="1"/>
      <c r="AB375" s="38"/>
      <c r="AC375" s="15">
        <f t="shared" si="152"/>
        <v>0</v>
      </c>
      <c r="AD375" s="1"/>
      <c r="AE375" s="1"/>
      <c r="AF375" s="1"/>
      <c r="AG375" s="1"/>
    </row>
    <row r="376" spans="1:33" ht="21">
      <c r="A376" s="15" t="s">
        <v>62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76"/>
      <c r="T376" s="15"/>
      <c r="U376" s="15"/>
      <c r="V376" s="15"/>
      <c r="W376" s="15"/>
      <c r="X376" s="15"/>
      <c r="Y376" s="15"/>
      <c r="Z376" s="1"/>
      <c r="AA376" s="1"/>
      <c r="AB376" s="38"/>
      <c r="AC376" s="1"/>
      <c r="AD376" s="1"/>
      <c r="AE376" s="1"/>
      <c r="AF376" s="1"/>
      <c r="AG376" s="1"/>
    </row>
    <row r="377" spans="1:33" ht="21">
      <c r="A377" s="35" t="s">
        <v>188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76"/>
      <c r="T377" s="15"/>
      <c r="U377" s="15"/>
      <c r="V377" s="15"/>
      <c r="W377" s="35"/>
      <c r="X377" s="35"/>
      <c r="Y377" s="35"/>
      <c r="AB377" s="38"/>
      <c r="AC377" s="1"/>
      <c r="AD377" s="1"/>
      <c r="AE377" s="1"/>
      <c r="AF377" s="1"/>
      <c r="AG377" s="1"/>
    </row>
    <row r="378" spans="1:28" ht="2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79"/>
      <c r="T378" s="35"/>
      <c r="U378" s="35"/>
      <c r="V378" s="35"/>
      <c r="W378" s="15"/>
      <c r="X378" s="15"/>
      <c r="Y378" s="15"/>
      <c r="Z378" s="1"/>
      <c r="AA378" s="1"/>
      <c r="AB378" s="38"/>
    </row>
    <row r="379" spans="1:33" ht="21">
      <c r="A379" s="15" t="s">
        <v>64</v>
      </c>
      <c r="B379" s="15"/>
      <c r="C379" s="15"/>
      <c r="D379" s="15" t="s">
        <v>65</v>
      </c>
      <c r="E379" s="15"/>
      <c r="F379" s="15"/>
      <c r="G379" s="15"/>
      <c r="H379" s="15"/>
      <c r="I379" s="15"/>
      <c r="J379" s="15"/>
      <c r="K379" s="15"/>
      <c r="L379" s="15" t="s">
        <v>66</v>
      </c>
      <c r="M379" s="15"/>
      <c r="N379" s="15"/>
      <c r="O379" s="15"/>
      <c r="P379" s="15"/>
      <c r="Q379" s="15"/>
      <c r="R379" s="15"/>
      <c r="S379" s="76"/>
      <c r="T379" s="15"/>
      <c r="U379" s="15"/>
      <c r="V379" s="15"/>
      <c r="W379" s="15"/>
      <c r="X379" s="15"/>
      <c r="Y379" s="15"/>
      <c r="Z379" s="1"/>
      <c r="AA379" s="1"/>
      <c r="AB379" s="38"/>
      <c r="AC379" s="1"/>
      <c r="AD379" s="1"/>
      <c r="AE379" s="1"/>
      <c r="AF379" s="1"/>
      <c r="AG379" s="1"/>
    </row>
    <row r="380" spans="1:33" ht="21">
      <c r="A380" s="19" t="s">
        <v>3</v>
      </c>
      <c r="B380" s="15"/>
      <c r="C380" s="15"/>
      <c r="D380" s="19" t="s">
        <v>3</v>
      </c>
      <c r="E380" s="19" t="s">
        <v>3</v>
      </c>
      <c r="F380" s="15"/>
      <c r="G380" s="15"/>
      <c r="H380" s="15"/>
      <c r="I380" s="15"/>
      <c r="J380" s="15"/>
      <c r="K380" s="15"/>
      <c r="L380" s="15" t="s">
        <v>67</v>
      </c>
      <c r="M380" s="15"/>
      <c r="N380" s="15"/>
      <c r="O380" s="15"/>
      <c r="P380" s="15"/>
      <c r="Q380" s="15"/>
      <c r="R380" s="15"/>
      <c r="S380" s="76"/>
      <c r="T380" s="15"/>
      <c r="U380" s="15"/>
      <c r="V380" s="15"/>
      <c r="W380" s="15"/>
      <c r="X380" s="15"/>
      <c r="Y380" s="15"/>
      <c r="Z380" s="1"/>
      <c r="AA380" s="1"/>
      <c r="AB380" s="38"/>
      <c r="AC380" s="1"/>
      <c r="AD380" s="1"/>
      <c r="AE380" s="1"/>
      <c r="AF380" s="1"/>
      <c r="AG380" s="1"/>
    </row>
    <row r="381" spans="1:33" ht="21">
      <c r="A381" s="15" t="s">
        <v>68</v>
      </c>
      <c r="B381" s="15"/>
      <c r="C381" s="15"/>
      <c r="D381" s="15" t="s">
        <v>69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76"/>
      <c r="T381" s="15"/>
      <c r="U381" s="15"/>
      <c r="V381" s="15"/>
      <c r="W381" s="15"/>
      <c r="X381" s="15"/>
      <c r="Y381" s="15"/>
      <c r="Z381" s="1"/>
      <c r="AA381" s="1"/>
      <c r="AB381" s="38"/>
      <c r="AC381" s="1"/>
      <c r="AD381" s="1"/>
      <c r="AE381" s="1"/>
      <c r="AF381" s="1"/>
      <c r="AG381" s="1"/>
    </row>
    <row r="382" spans="1:33" ht="21">
      <c r="A382" s="15" t="s">
        <v>70</v>
      </c>
      <c r="B382" s="15"/>
      <c r="C382" s="15"/>
      <c r="D382" s="15" t="s">
        <v>71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76"/>
      <c r="T382" s="15"/>
      <c r="U382" s="15"/>
      <c r="V382" s="15"/>
      <c r="W382" s="15"/>
      <c r="X382" s="15"/>
      <c r="Y382" s="15"/>
      <c r="Z382" s="1"/>
      <c r="AA382" s="1"/>
      <c r="AB382" s="38"/>
      <c r="AC382" s="1"/>
      <c r="AD382" s="1"/>
      <c r="AE382" s="1"/>
      <c r="AF382" s="1"/>
      <c r="AG382" s="1"/>
    </row>
    <row r="383" spans="1:33" ht="21">
      <c r="A383" s="15" t="s">
        <v>72</v>
      </c>
      <c r="B383" s="15"/>
      <c r="C383" s="15"/>
      <c r="D383" s="15" t="s">
        <v>73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76"/>
      <c r="T383" s="15"/>
      <c r="U383" s="15"/>
      <c r="V383" s="15"/>
      <c r="W383" s="15"/>
      <c r="X383" s="15"/>
      <c r="Y383" s="15"/>
      <c r="Z383" s="1"/>
      <c r="AA383" s="1"/>
      <c r="AB383" s="38"/>
      <c r="AC383" s="1"/>
      <c r="AD383" s="1"/>
      <c r="AE383" s="1"/>
      <c r="AF383" s="1"/>
      <c r="AG383" s="1"/>
    </row>
    <row r="384" spans="1:33" ht="21">
      <c r="A384" s="15" t="s">
        <v>74</v>
      </c>
      <c r="B384" s="15"/>
      <c r="C384" s="15"/>
      <c r="D384" s="15" t="s">
        <v>75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76"/>
      <c r="T384" s="15"/>
      <c r="U384" s="15"/>
      <c r="V384" s="15"/>
      <c r="W384" s="35"/>
      <c r="X384" s="35"/>
      <c r="Y384" s="35"/>
      <c r="AB384" s="38"/>
      <c r="AC384" s="1"/>
      <c r="AD384" s="1"/>
      <c r="AE384" s="1"/>
      <c r="AF384" s="1"/>
      <c r="AG384" s="1"/>
    </row>
    <row r="385" spans="1:28" ht="2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79"/>
      <c r="T385" s="35"/>
      <c r="U385" s="35"/>
      <c r="V385" s="35"/>
      <c r="W385" s="15"/>
      <c r="X385" s="15"/>
      <c r="Y385" s="15"/>
      <c r="Z385" s="1"/>
      <c r="AA385" s="1"/>
      <c r="AB385" s="38"/>
    </row>
    <row r="386" spans="1:28" ht="2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79"/>
      <c r="T386" s="35"/>
      <c r="U386" s="35"/>
      <c r="V386" s="35"/>
      <c r="W386" s="15"/>
      <c r="X386" s="15"/>
      <c r="Y386" s="15"/>
      <c r="Z386" s="1"/>
      <c r="AA386" s="1"/>
      <c r="AB386" s="38"/>
    </row>
    <row r="387" spans="1:34" ht="21">
      <c r="A387" s="15" t="s">
        <v>0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76"/>
      <c r="T387" s="15"/>
      <c r="U387" s="15"/>
      <c r="V387" s="15"/>
      <c r="W387" s="15"/>
      <c r="X387" s="15"/>
      <c r="Y387" s="15"/>
      <c r="Z387" s="1"/>
      <c r="AA387" s="1"/>
      <c r="AB387" s="38"/>
      <c r="AC387" s="1"/>
      <c r="AD387" s="1"/>
      <c r="AE387" s="1"/>
      <c r="AF387" s="1"/>
      <c r="AG387" s="1"/>
      <c r="AH387" s="14"/>
    </row>
    <row r="388" spans="1:34" ht="21">
      <c r="A388" s="15" t="str">
        <f>$A$3</f>
        <v>MISSION &amp; SERVICE BUDGET APPORTIONMENT 2022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76"/>
      <c r="T388" s="15"/>
      <c r="U388" s="15"/>
      <c r="V388" s="15"/>
      <c r="W388" s="15"/>
      <c r="X388" s="15"/>
      <c r="Y388" s="15"/>
      <c r="Z388" s="1"/>
      <c r="AA388" s="1"/>
      <c r="AB388" s="38"/>
      <c r="AC388" s="1"/>
      <c r="AD388" s="1"/>
      <c r="AE388" s="1"/>
      <c r="AF388" s="1"/>
      <c r="AG388" s="1"/>
      <c r="AH388" s="1"/>
    </row>
    <row r="389" spans="1:34" ht="2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76"/>
      <c r="T389" s="15"/>
      <c r="U389" s="15"/>
      <c r="V389" s="15"/>
      <c r="W389" s="15"/>
      <c r="X389" s="15"/>
      <c r="Y389" s="15"/>
      <c r="Z389" s="1"/>
      <c r="AA389" s="1"/>
      <c r="AB389" s="38"/>
      <c r="AC389" s="1"/>
      <c r="AD389" s="1"/>
      <c r="AE389" s="1"/>
      <c r="AF389" s="1"/>
      <c r="AG389" s="1"/>
      <c r="AH389" s="1"/>
    </row>
    <row r="390" spans="1:65" ht="21">
      <c r="A390" s="15" t="s">
        <v>146</v>
      </c>
      <c r="B390" s="15" t="s">
        <v>2</v>
      </c>
      <c r="C390" s="15" t="str">
        <f>C32</f>
        <v>2020 expenses</v>
      </c>
      <c r="D390" s="15"/>
      <c r="E390" s="15"/>
      <c r="F390" s="15" t="s">
        <v>2</v>
      </c>
      <c r="G390" s="19" t="s">
        <v>3</v>
      </c>
      <c r="H390" s="19" t="s">
        <v>3</v>
      </c>
      <c r="I390" s="19" t="s">
        <v>3</v>
      </c>
      <c r="J390" s="18" t="s">
        <v>4</v>
      </c>
      <c r="K390" s="19" t="s">
        <v>3</v>
      </c>
      <c r="L390" s="19" t="s">
        <v>3</v>
      </c>
      <c r="M390" s="15" t="s">
        <v>2</v>
      </c>
      <c r="N390" s="15" t="s">
        <v>5</v>
      </c>
      <c r="O390" s="15"/>
      <c r="P390" s="15" t="s">
        <v>2</v>
      </c>
      <c r="Q390" s="18" t="s">
        <v>6</v>
      </c>
      <c r="R390" s="15" t="s">
        <v>2</v>
      </c>
      <c r="S390" s="76" t="str">
        <f>S32</f>
        <v>------------------------</v>
      </c>
      <c r="T390" s="18" t="str">
        <f>+T350</f>
        <v>APPORTIONMENT</v>
      </c>
      <c r="U390" s="15" t="str">
        <f>+U350</f>
        <v>---------------------</v>
      </c>
      <c r="V390" s="15" t="s">
        <v>2</v>
      </c>
      <c r="W390" s="15"/>
      <c r="X390" s="15"/>
      <c r="Y390" s="15"/>
      <c r="Z390" s="1"/>
      <c r="AA390" s="1"/>
      <c r="AB390" s="38"/>
      <c r="AC390" s="1"/>
      <c r="AD390" s="1"/>
      <c r="AE390" s="1"/>
      <c r="AF390" s="1"/>
      <c r="AG390" s="1"/>
      <c r="AH390" s="1"/>
      <c r="AR390" s="36"/>
      <c r="BH390" s="36"/>
      <c r="BI390" s="37"/>
      <c r="BJ390" s="37"/>
      <c r="BK390" s="37"/>
      <c r="BL390" s="37"/>
      <c r="BM390" s="37"/>
    </row>
    <row r="391" spans="1:65" ht="21">
      <c r="A391" s="15"/>
      <c r="B391" s="15" t="s">
        <v>2</v>
      </c>
      <c r="C391" s="15"/>
      <c r="D391" s="15"/>
      <c r="E391" s="15"/>
      <c r="F391" s="15" t="s">
        <v>2</v>
      </c>
      <c r="G391" s="15"/>
      <c r="H391" s="15"/>
      <c r="I391" s="15"/>
      <c r="J391" s="15"/>
      <c r="K391" s="15"/>
      <c r="L391" s="15"/>
      <c r="M391" s="15" t="s">
        <v>2</v>
      </c>
      <c r="N391" s="15"/>
      <c r="O391" s="20" t="s">
        <v>8</v>
      </c>
      <c r="P391" s="15" t="s">
        <v>2</v>
      </c>
      <c r="Q391" s="15"/>
      <c r="R391" s="15" t="s">
        <v>2</v>
      </c>
      <c r="S391" s="76"/>
      <c r="T391" s="15"/>
      <c r="U391" s="15"/>
      <c r="V391" s="15" t="s">
        <v>2</v>
      </c>
      <c r="W391" s="15"/>
      <c r="X391" s="15"/>
      <c r="Y391" s="15"/>
      <c r="Z391" s="1"/>
      <c r="AA391" s="1"/>
      <c r="AB391" s="38"/>
      <c r="AC391" s="1"/>
      <c r="AD391" s="1"/>
      <c r="AE391" s="1"/>
      <c r="AF391" s="1"/>
      <c r="AG391" s="1"/>
      <c r="AH391" s="1"/>
      <c r="AR391" s="36"/>
      <c r="BH391" s="36"/>
      <c r="BI391" s="37"/>
      <c r="BJ391" s="37"/>
      <c r="BK391" s="37"/>
      <c r="BL391" s="37"/>
      <c r="BM391" s="37"/>
    </row>
    <row r="392" spans="1:65" ht="21">
      <c r="A392" s="15"/>
      <c r="B392" s="15" t="s">
        <v>2</v>
      </c>
      <c r="C392" s="15"/>
      <c r="D392" s="15"/>
      <c r="E392" s="18" t="s">
        <v>9</v>
      </c>
      <c r="F392" s="15" t="s">
        <v>2</v>
      </c>
      <c r="G392" s="15"/>
      <c r="H392" s="15"/>
      <c r="I392" s="15"/>
      <c r="J392" s="20" t="s">
        <v>10</v>
      </c>
      <c r="K392" s="20" t="s">
        <v>11</v>
      </c>
      <c r="L392" s="15"/>
      <c r="M392" s="15" t="s">
        <v>2</v>
      </c>
      <c r="N392" s="15"/>
      <c r="O392" s="20" t="s">
        <v>12</v>
      </c>
      <c r="P392" s="15" t="s">
        <v>2</v>
      </c>
      <c r="Q392" s="18" t="s">
        <v>13</v>
      </c>
      <c r="R392" s="15" t="s">
        <v>2</v>
      </c>
      <c r="S392" s="76"/>
      <c r="U392" s="15"/>
      <c r="V392" s="15" t="s">
        <v>2</v>
      </c>
      <c r="W392" s="15"/>
      <c r="X392" s="15"/>
      <c r="Y392" s="15"/>
      <c r="Z392" s="1"/>
      <c r="AA392" s="1"/>
      <c r="AB392" s="38"/>
      <c r="AC392" s="1"/>
      <c r="AD392" s="1"/>
      <c r="AE392" s="1"/>
      <c r="AF392" s="1"/>
      <c r="AG392" s="1"/>
      <c r="AH392" s="14"/>
      <c r="AR392" s="36"/>
      <c r="BH392" s="36"/>
      <c r="BI392" s="37"/>
      <c r="BJ392" s="37"/>
      <c r="BK392" s="37"/>
      <c r="BL392" s="37"/>
      <c r="BM392" s="37"/>
    </row>
    <row r="393" spans="1:65" ht="21">
      <c r="A393" s="15"/>
      <c r="B393" s="15" t="s">
        <v>2</v>
      </c>
      <c r="C393" s="15"/>
      <c r="D393" s="18" t="s">
        <v>14</v>
      </c>
      <c r="E393" s="18" t="s">
        <v>15</v>
      </c>
      <c r="F393" s="15" t="s">
        <v>2</v>
      </c>
      <c r="G393" s="20" t="s">
        <v>215</v>
      </c>
      <c r="H393" s="20" t="s">
        <v>16</v>
      </c>
      <c r="I393" s="20" t="s">
        <v>17</v>
      </c>
      <c r="J393" s="20" t="s">
        <v>18</v>
      </c>
      <c r="K393" s="20" t="s">
        <v>19</v>
      </c>
      <c r="L393" s="20" t="s">
        <v>9</v>
      </c>
      <c r="M393" s="15" t="s">
        <v>2</v>
      </c>
      <c r="N393" s="20" t="s">
        <v>20</v>
      </c>
      <c r="O393" s="20" t="s">
        <v>21</v>
      </c>
      <c r="P393" s="15" t="s">
        <v>2</v>
      </c>
      <c r="Q393" s="20" t="s">
        <v>22</v>
      </c>
      <c r="R393" s="15" t="s">
        <v>2</v>
      </c>
      <c r="S393" s="76"/>
      <c r="T393" s="9" t="s">
        <v>23</v>
      </c>
      <c r="U393" s="15"/>
      <c r="V393" s="15" t="s">
        <v>2</v>
      </c>
      <c r="W393" s="15"/>
      <c r="X393" s="15"/>
      <c r="Y393" s="15"/>
      <c r="Z393" s="1"/>
      <c r="AA393" s="1"/>
      <c r="AB393" s="38"/>
      <c r="AC393" s="1"/>
      <c r="AD393" s="1"/>
      <c r="AE393" s="1"/>
      <c r="AF393" s="1"/>
      <c r="AG393" s="1"/>
      <c r="AH393" s="14"/>
      <c r="AR393" s="36"/>
      <c r="BH393" s="36"/>
      <c r="BI393" s="37"/>
      <c r="BJ393" s="37"/>
      <c r="BK393" s="37"/>
      <c r="BL393" s="37"/>
      <c r="BM393" s="37"/>
    </row>
    <row r="394" spans="1:58" ht="22.5">
      <c r="A394" s="15"/>
      <c r="B394" s="15" t="s">
        <v>2</v>
      </c>
      <c r="C394" s="18" t="s">
        <v>15</v>
      </c>
      <c r="D394" s="18" t="s">
        <v>25</v>
      </c>
      <c r="E394" s="18" t="s">
        <v>14</v>
      </c>
      <c r="F394" s="15" t="s">
        <v>2</v>
      </c>
      <c r="G394" s="20" t="s">
        <v>216</v>
      </c>
      <c r="H394" s="20" t="s">
        <v>26</v>
      </c>
      <c r="I394" s="20" t="s">
        <v>16</v>
      </c>
      <c r="J394" s="20" t="s">
        <v>27</v>
      </c>
      <c r="K394" s="20" t="s">
        <v>28</v>
      </c>
      <c r="L394" s="20" t="s">
        <v>29</v>
      </c>
      <c r="M394" s="15" t="s">
        <v>2</v>
      </c>
      <c r="N394" s="20" t="s">
        <v>15</v>
      </c>
      <c r="O394" s="20" t="s">
        <v>30</v>
      </c>
      <c r="P394" s="15" t="s">
        <v>2</v>
      </c>
      <c r="Q394" s="20" t="s">
        <v>12</v>
      </c>
      <c r="R394" s="15" t="s">
        <v>2</v>
      </c>
      <c r="T394" s="18" t="str">
        <f>+T354</f>
        <v>Extra</v>
      </c>
      <c r="U394" s="20" t="s">
        <v>31</v>
      </c>
      <c r="V394" s="15" t="s">
        <v>2</v>
      </c>
      <c r="W394" s="23"/>
      <c r="X394" s="23"/>
      <c r="Y394" s="23"/>
      <c r="Z394" s="1"/>
      <c r="AA394" s="1"/>
      <c r="AB394" s="38"/>
      <c r="AC394" s="1"/>
      <c r="AD394" s="1"/>
      <c r="AE394" s="1"/>
      <c r="AF394" s="1"/>
      <c r="AG394" s="1"/>
      <c r="AH394" s="14"/>
      <c r="AK394" s="60" t="s">
        <v>513</v>
      </c>
      <c r="AS394" s="60" t="s">
        <v>505</v>
      </c>
      <c r="AT394" s="57"/>
      <c r="AU394" s="57"/>
      <c r="AV394" s="57"/>
      <c r="AW394" s="57"/>
      <c r="AZ394" s="32"/>
      <c r="BA394" s="57"/>
      <c r="BB394" s="57"/>
      <c r="BC394" s="57"/>
      <c r="BD394" s="57"/>
      <c r="BE394" s="57"/>
      <c r="BF394" s="50"/>
    </row>
    <row r="395" spans="1:34" ht="21">
      <c r="A395" s="15"/>
      <c r="B395" s="15" t="s">
        <v>2</v>
      </c>
      <c r="C395" s="18" t="s">
        <v>14</v>
      </c>
      <c r="D395" s="18" t="s">
        <v>33</v>
      </c>
      <c r="E395" s="18" t="s">
        <v>34</v>
      </c>
      <c r="F395" s="15" t="s">
        <v>2</v>
      </c>
      <c r="G395" s="20" t="s">
        <v>35</v>
      </c>
      <c r="H395" s="20" t="s">
        <v>36</v>
      </c>
      <c r="I395" s="20" t="s">
        <v>37</v>
      </c>
      <c r="J395" s="20" t="s">
        <v>38</v>
      </c>
      <c r="K395" s="20" t="s">
        <v>39</v>
      </c>
      <c r="L395" s="20" t="s">
        <v>40</v>
      </c>
      <c r="M395" s="15" t="s">
        <v>2</v>
      </c>
      <c r="N395" s="20" t="s">
        <v>14</v>
      </c>
      <c r="O395" s="20" t="s">
        <v>41</v>
      </c>
      <c r="P395" s="15" t="s">
        <v>2</v>
      </c>
      <c r="Q395" s="22">
        <f>Q10</f>
        <v>0.25577674211452567</v>
      </c>
      <c r="R395" s="15" t="s">
        <v>2</v>
      </c>
      <c r="S395" s="80" t="str">
        <f>+S355</f>
        <v>Apportionment</v>
      </c>
      <c r="T395" s="18" t="str">
        <f>+T355</f>
        <v>Mile</v>
      </c>
      <c r="U395" s="20" t="s">
        <v>42</v>
      </c>
      <c r="V395" s="15" t="s">
        <v>2</v>
      </c>
      <c r="W395" s="15"/>
      <c r="X395" s="15"/>
      <c r="Y395" s="15"/>
      <c r="Z395" s="1"/>
      <c r="AA395" s="1"/>
      <c r="AB395" s="38"/>
      <c r="AC395" s="1"/>
      <c r="AD395" s="1"/>
      <c r="AE395" s="1"/>
      <c r="AF395" s="1"/>
      <c r="AG395" s="1"/>
      <c r="AH395" s="14"/>
    </row>
    <row r="396" spans="1:65" ht="101.25" thickBot="1">
      <c r="A396" s="19" t="s">
        <v>3</v>
      </c>
      <c r="B396" s="15"/>
      <c r="C396" s="19" t="s">
        <v>3</v>
      </c>
      <c r="D396" s="19" t="s">
        <v>3</v>
      </c>
      <c r="E396" s="19" t="s">
        <v>3</v>
      </c>
      <c r="F396" s="15"/>
      <c r="G396" s="19" t="s">
        <v>3</v>
      </c>
      <c r="H396" s="19" t="s">
        <v>3</v>
      </c>
      <c r="I396" s="19" t="s">
        <v>3</v>
      </c>
      <c r="J396" s="19" t="s">
        <v>3</v>
      </c>
      <c r="K396" s="19" t="s">
        <v>3</v>
      </c>
      <c r="L396" s="19" t="s">
        <v>3</v>
      </c>
      <c r="M396" s="15"/>
      <c r="N396" s="19" t="s">
        <v>3</v>
      </c>
      <c r="O396" s="19" t="s">
        <v>3</v>
      </c>
      <c r="P396" s="15"/>
      <c r="Q396" s="19" t="s">
        <v>3</v>
      </c>
      <c r="R396" s="15"/>
      <c r="S396" s="78" t="s">
        <v>3</v>
      </c>
      <c r="T396" s="19" t="s">
        <v>3</v>
      </c>
      <c r="U396" s="19" t="s">
        <v>3</v>
      </c>
      <c r="V396" s="15"/>
      <c r="X396" s="69" t="s">
        <v>577</v>
      </c>
      <c r="Y396" s="69" t="s">
        <v>508</v>
      </c>
      <c r="Z396" s="24">
        <v>2020</v>
      </c>
      <c r="AA396" s="24">
        <v>2019</v>
      </c>
      <c r="AB396" s="24">
        <v>2018</v>
      </c>
      <c r="AC396" s="25" t="s">
        <v>394</v>
      </c>
      <c r="AD396" s="26"/>
      <c r="AE396" s="1"/>
      <c r="AF396" s="1"/>
      <c r="AG396" s="1"/>
      <c r="AH396" s="14"/>
      <c r="AK396" s="27" t="s">
        <v>379</v>
      </c>
      <c r="AL396" s="27" t="s">
        <v>380</v>
      </c>
      <c r="AM396" s="27" t="s">
        <v>381</v>
      </c>
      <c r="AN396" s="27" t="s">
        <v>382</v>
      </c>
      <c r="AO396" s="27" t="s">
        <v>383</v>
      </c>
      <c r="AS396" s="27" t="s">
        <v>379</v>
      </c>
      <c r="AT396" s="27" t="s">
        <v>380</v>
      </c>
      <c r="AU396" s="27" t="s">
        <v>381</v>
      </c>
      <c r="AV396" s="27" t="s">
        <v>382</v>
      </c>
      <c r="AW396" s="27" t="s">
        <v>383</v>
      </c>
      <c r="BI396" s="27" t="s">
        <v>379</v>
      </c>
      <c r="BJ396" s="27" t="s">
        <v>380</v>
      </c>
      <c r="BK396" s="27" t="s">
        <v>381</v>
      </c>
      <c r="BL396" s="27" t="s">
        <v>382</v>
      </c>
      <c r="BM396" s="27" t="s">
        <v>383</v>
      </c>
    </row>
    <row r="397" spans="1:65" ht="21">
      <c r="A397" s="15" t="s">
        <v>225</v>
      </c>
      <c r="B397" s="28"/>
      <c r="C397" s="29">
        <f aca="true" t="shared" si="159" ref="C397:C413">AK397</f>
        <v>37527</v>
      </c>
      <c r="D397" s="21">
        <f aca="true" t="shared" si="160" ref="D397:D413">AL397</f>
        <v>0</v>
      </c>
      <c r="E397" s="15">
        <f>D397+C397</f>
        <v>37527</v>
      </c>
      <c r="F397" s="15"/>
      <c r="G397" s="15">
        <f aca="true" t="shared" si="161" ref="G397:G413">AM397</f>
        <v>0</v>
      </c>
      <c r="H397" s="21">
        <f aca="true" t="shared" si="162" ref="H397:H413">AN397</f>
        <v>0</v>
      </c>
      <c r="I397" s="15">
        <f aca="true" t="shared" si="163" ref="I397:I413">H397*0.5</f>
        <v>0</v>
      </c>
      <c r="J397" s="21">
        <f aca="true" t="shared" si="164" ref="J397:J413">AO397</f>
        <v>0</v>
      </c>
      <c r="K397" s="15">
        <f aca="true" t="shared" si="165" ref="K397:K413">J397*0.25</f>
        <v>0</v>
      </c>
      <c r="L397" s="15">
        <f aca="true" t="shared" si="166" ref="L397:L413">+G397+I397+K397</f>
        <v>0</v>
      </c>
      <c r="M397" s="15"/>
      <c r="N397" s="15">
        <f>E397-L397</f>
        <v>37527</v>
      </c>
      <c r="O397" s="15">
        <f aca="true" t="shared" si="167" ref="O397:O410">IF(N397&gt;=4000,(N397-4000)*0.9+2200,IF(N397&gt;=3000,(N397-3000)*0.8+1400,IF(N397&gt;=2000,(N397-2000)*0.6+800,IF(N397&gt;0,N397*0.4,0))))</f>
        <v>32374.3</v>
      </c>
      <c r="P397" s="15"/>
      <c r="Q397" s="30" t="s">
        <v>44</v>
      </c>
      <c r="R397" s="15"/>
      <c r="S397" s="76">
        <f aca="true" t="shared" si="168" ref="S397:S410">ROUND(SUM(O397*$Q$10),0)</f>
        <v>8281</v>
      </c>
      <c r="T397" s="15">
        <f aca="true" t="shared" si="169" ref="T397:T410">ROUND(SUM(S397*0.1),0)</f>
        <v>828</v>
      </c>
      <c r="U397" s="15">
        <f aca="true" t="shared" si="170" ref="U397:U410">SUM(S397:T397)</f>
        <v>9109</v>
      </c>
      <c r="V397" s="15"/>
      <c r="W397" s="15" t="s">
        <v>225</v>
      </c>
      <c r="X397" s="15">
        <f>S397</f>
        <v>8281</v>
      </c>
      <c r="Y397" s="15">
        <v>6937</v>
      </c>
      <c r="Z397" s="15">
        <v>7307</v>
      </c>
      <c r="AA397" s="15">
        <v>7374</v>
      </c>
      <c r="AB397" s="40">
        <v>6976</v>
      </c>
      <c r="AC397" s="15">
        <f>Z397-AA397</f>
        <v>-67</v>
      </c>
      <c r="AD397" s="1"/>
      <c r="AE397" s="3">
        <v>1</v>
      </c>
      <c r="AF397" s="1" t="s">
        <v>225</v>
      </c>
      <c r="AG397" s="1">
        <v>7374</v>
      </c>
      <c r="AH397" s="14"/>
      <c r="AJ397" s="81" t="s">
        <v>561</v>
      </c>
      <c r="AK397" s="84">
        <v>37527</v>
      </c>
      <c r="AL397" s="81">
        <v>0</v>
      </c>
      <c r="AM397" s="84">
        <v>0</v>
      </c>
      <c r="AN397" s="84">
        <v>0</v>
      </c>
      <c r="AR397" s="32" t="s">
        <v>328</v>
      </c>
      <c r="AS397" s="57">
        <v>33877</v>
      </c>
      <c r="AT397" s="57">
        <v>0</v>
      </c>
      <c r="AU397" s="57">
        <v>0</v>
      </c>
      <c r="AV397" s="57">
        <v>0</v>
      </c>
      <c r="AW397" s="57">
        <v>0</v>
      </c>
      <c r="AZ397" s="32" t="s">
        <v>493</v>
      </c>
      <c r="BA397" s="57">
        <v>33877</v>
      </c>
      <c r="BB397" s="57">
        <v>0</v>
      </c>
      <c r="BC397" s="57">
        <v>0</v>
      </c>
      <c r="BD397" s="57">
        <v>0</v>
      </c>
      <c r="BE397" s="57">
        <v>0</v>
      </c>
      <c r="BF397" s="50"/>
      <c r="BH397" s="32" t="s">
        <v>328</v>
      </c>
      <c r="BI397" s="33">
        <v>34145</v>
      </c>
      <c r="BJ397" s="33">
        <v>0</v>
      </c>
      <c r="BK397" s="33">
        <v>0</v>
      </c>
      <c r="BL397" s="33">
        <v>0</v>
      </c>
      <c r="BM397" s="33">
        <v>0</v>
      </c>
    </row>
    <row r="398" spans="1:65" ht="21">
      <c r="A398" s="15" t="s">
        <v>226</v>
      </c>
      <c r="B398" s="28"/>
      <c r="C398" s="29">
        <f t="shared" si="159"/>
        <v>49032</v>
      </c>
      <c r="D398" s="21">
        <f t="shared" si="160"/>
        <v>0</v>
      </c>
      <c r="E398" s="15">
        <f aca="true" t="shared" si="171" ref="E398:E413">D398+C398</f>
        <v>49032</v>
      </c>
      <c r="F398" s="15"/>
      <c r="G398" s="15">
        <f t="shared" si="161"/>
        <v>0</v>
      </c>
      <c r="H398" s="21">
        <f t="shared" si="162"/>
        <v>0</v>
      </c>
      <c r="I398" s="15">
        <f t="shared" si="163"/>
        <v>0</v>
      </c>
      <c r="J398" s="21">
        <f t="shared" si="164"/>
        <v>0</v>
      </c>
      <c r="K398" s="15">
        <f t="shared" si="165"/>
        <v>0</v>
      </c>
      <c r="L398" s="15">
        <f t="shared" si="166"/>
        <v>0</v>
      </c>
      <c r="M398" s="15"/>
      <c r="N398" s="15">
        <f>E398-L398</f>
        <v>49032</v>
      </c>
      <c r="O398" s="15">
        <f t="shared" si="167"/>
        <v>42728.8</v>
      </c>
      <c r="P398" s="15"/>
      <c r="Q398" s="30" t="s">
        <v>44</v>
      </c>
      <c r="R398" s="15"/>
      <c r="S398" s="76">
        <f t="shared" si="168"/>
        <v>10929</v>
      </c>
      <c r="T398" s="15">
        <f t="shared" si="169"/>
        <v>1093</v>
      </c>
      <c r="U398" s="15">
        <f t="shared" si="170"/>
        <v>12022</v>
      </c>
      <c r="V398" s="15"/>
      <c r="W398" s="15" t="s">
        <v>226</v>
      </c>
      <c r="X398" s="15">
        <f aca="true" t="shared" si="172" ref="X398:X413">S398</f>
        <v>10929</v>
      </c>
      <c r="Y398" s="15">
        <v>14034</v>
      </c>
      <c r="Z398" s="15">
        <v>13046</v>
      </c>
      <c r="AA398" s="15">
        <v>12410</v>
      </c>
      <c r="AB398" s="40">
        <v>12552</v>
      </c>
      <c r="AC398" s="15">
        <f aca="true" t="shared" si="173" ref="AC398:AC417">Z398-AA398</f>
        <v>636</v>
      </c>
      <c r="AD398" s="1"/>
      <c r="AE398" s="3">
        <v>1</v>
      </c>
      <c r="AF398" s="1" t="s">
        <v>226</v>
      </c>
      <c r="AG398" s="1">
        <v>12410</v>
      </c>
      <c r="AH398" s="14"/>
      <c r="AJ398" s="81" t="s">
        <v>494</v>
      </c>
      <c r="AK398" s="84">
        <v>49032</v>
      </c>
      <c r="AL398" s="81">
        <v>0</v>
      </c>
      <c r="AM398" s="84">
        <v>0</v>
      </c>
      <c r="AN398" s="84">
        <v>0</v>
      </c>
      <c r="AR398" s="32" t="s">
        <v>327</v>
      </c>
      <c r="AS398" s="57">
        <v>66942</v>
      </c>
      <c r="AT398" s="57">
        <v>0</v>
      </c>
      <c r="AU398" s="57">
        <v>0</v>
      </c>
      <c r="AV398" s="57">
        <v>0</v>
      </c>
      <c r="AW398" s="57">
        <v>0</v>
      </c>
      <c r="AZ398" s="32" t="s">
        <v>494</v>
      </c>
      <c r="BA398" s="57">
        <v>66942</v>
      </c>
      <c r="BB398" s="57">
        <v>0</v>
      </c>
      <c r="BC398" s="57">
        <v>0</v>
      </c>
      <c r="BD398" s="57">
        <v>0</v>
      </c>
      <c r="BE398" s="57">
        <v>0</v>
      </c>
      <c r="BF398" s="50"/>
      <c r="BH398" s="32" t="s">
        <v>327</v>
      </c>
      <c r="BI398" s="33">
        <v>59740</v>
      </c>
      <c r="BJ398" s="33">
        <v>0</v>
      </c>
      <c r="BK398" s="33">
        <v>0</v>
      </c>
      <c r="BL398" s="33">
        <v>0</v>
      </c>
      <c r="BM398" s="33">
        <v>0</v>
      </c>
    </row>
    <row r="399" spans="1:65" ht="21">
      <c r="A399" s="15" t="s">
        <v>227</v>
      </c>
      <c r="B399" s="28"/>
      <c r="C399" s="29">
        <f t="shared" si="159"/>
        <v>20891</v>
      </c>
      <c r="D399" s="21">
        <f t="shared" si="160"/>
        <v>0</v>
      </c>
      <c r="E399" s="15">
        <f t="shared" si="171"/>
        <v>20891</v>
      </c>
      <c r="F399" s="15"/>
      <c r="G399" s="15">
        <f t="shared" si="161"/>
        <v>0</v>
      </c>
      <c r="H399" s="21">
        <f t="shared" si="162"/>
        <v>9</v>
      </c>
      <c r="I399" s="15">
        <f t="shared" si="163"/>
        <v>4.5</v>
      </c>
      <c r="J399" s="21">
        <f t="shared" si="164"/>
        <v>0</v>
      </c>
      <c r="K399" s="15">
        <f t="shared" si="165"/>
        <v>0</v>
      </c>
      <c r="L399" s="15">
        <f t="shared" si="166"/>
        <v>4.5</v>
      </c>
      <c r="M399" s="15"/>
      <c r="N399" s="15">
        <f>E399-L399</f>
        <v>20886.5</v>
      </c>
      <c r="O399" s="15">
        <f t="shared" si="167"/>
        <v>17397.85</v>
      </c>
      <c r="P399" s="15"/>
      <c r="Q399" s="30" t="s">
        <v>44</v>
      </c>
      <c r="R399" s="15"/>
      <c r="S399" s="76">
        <f t="shared" si="168"/>
        <v>4450</v>
      </c>
      <c r="T399" s="15">
        <f t="shared" si="169"/>
        <v>445</v>
      </c>
      <c r="U399" s="15">
        <f t="shared" si="170"/>
        <v>4895</v>
      </c>
      <c r="V399" s="15"/>
      <c r="W399" s="15" t="s">
        <v>227</v>
      </c>
      <c r="X399" s="15">
        <f t="shared" si="172"/>
        <v>4450</v>
      </c>
      <c r="Y399" s="15">
        <v>5065</v>
      </c>
      <c r="Z399" s="15">
        <v>4397</v>
      </c>
      <c r="AA399" s="15">
        <v>5625</v>
      </c>
      <c r="AB399" s="40">
        <v>5040</v>
      </c>
      <c r="AC399" s="15">
        <f t="shared" si="173"/>
        <v>-1228</v>
      </c>
      <c r="AD399" s="1"/>
      <c r="AE399" s="3">
        <v>1</v>
      </c>
      <c r="AF399" s="1" t="s">
        <v>227</v>
      </c>
      <c r="AG399" s="1">
        <v>5625</v>
      </c>
      <c r="AH399" s="14"/>
      <c r="AJ399" s="81" t="s">
        <v>562</v>
      </c>
      <c r="AK399" s="84">
        <v>20891</v>
      </c>
      <c r="AL399" s="81">
        <v>0</v>
      </c>
      <c r="AM399" s="84">
        <v>0</v>
      </c>
      <c r="AN399" s="84">
        <v>9</v>
      </c>
      <c r="AR399" s="32" t="s">
        <v>326</v>
      </c>
      <c r="AS399" s="57">
        <v>25156</v>
      </c>
      <c r="AT399" s="57">
        <v>0</v>
      </c>
      <c r="AU399" s="57">
        <v>0</v>
      </c>
      <c r="AV399" s="57">
        <v>0</v>
      </c>
      <c r="AW399" s="57">
        <v>0</v>
      </c>
      <c r="AZ399" s="32" t="s">
        <v>495</v>
      </c>
      <c r="BA399" s="57">
        <v>25156</v>
      </c>
      <c r="BB399" s="57">
        <v>0</v>
      </c>
      <c r="BC399" s="57">
        <v>0</v>
      </c>
      <c r="BD399" s="57">
        <v>0</v>
      </c>
      <c r="BE399" s="57">
        <v>0</v>
      </c>
      <c r="BF399" s="50"/>
      <c r="BH399" s="32" t="s">
        <v>326</v>
      </c>
      <c r="BI399" s="33">
        <v>21168</v>
      </c>
      <c r="BJ399" s="33">
        <v>0</v>
      </c>
      <c r="BK399" s="33">
        <v>0</v>
      </c>
      <c r="BL399" s="33">
        <v>0</v>
      </c>
      <c r="BM399" s="33">
        <v>0</v>
      </c>
    </row>
    <row r="400" spans="1:65" ht="21">
      <c r="A400" s="15" t="s">
        <v>244</v>
      </c>
      <c r="B400" s="28"/>
      <c r="C400" s="29">
        <f t="shared" si="159"/>
        <v>46374.4</v>
      </c>
      <c r="D400" s="21">
        <f t="shared" si="160"/>
        <v>0</v>
      </c>
      <c r="E400" s="15">
        <f t="shared" si="171"/>
        <v>46374.4</v>
      </c>
      <c r="F400" s="15"/>
      <c r="G400" s="15">
        <f t="shared" si="161"/>
        <v>0</v>
      </c>
      <c r="H400" s="21">
        <f t="shared" si="162"/>
        <v>1713.94</v>
      </c>
      <c r="I400" s="15">
        <f t="shared" si="163"/>
        <v>856.97</v>
      </c>
      <c r="J400" s="21">
        <f t="shared" si="164"/>
        <v>0</v>
      </c>
      <c r="K400" s="15">
        <f t="shared" si="165"/>
        <v>0</v>
      </c>
      <c r="L400" s="15">
        <f t="shared" si="166"/>
        <v>856.97</v>
      </c>
      <c r="M400" s="15"/>
      <c r="N400" s="15">
        <f aca="true" t="shared" si="174" ref="N400:N410">E400-L400</f>
        <v>45517.43</v>
      </c>
      <c r="O400" s="15">
        <f t="shared" si="167"/>
        <v>39565.687</v>
      </c>
      <c r="P400" s="15"/>
      <c r="Q400" s="30" t="s">
        <v>44</v>
      </c>
      <c r="R400" s="15"/>
      <c r="S400" s="76">
        <f t="shared" si="168"/>
        <v>10120</v>
      </c>
      <c r="T400" s="15">
        <f t="shared" si="169"/>
        <v>1012</v>
      </c>
      <c r="U400" s="15">
        <f t="shared" si="170"/>
        <v>11132</v>
      </c>
      <c r="V400" s="15"/>
      <c r="W400" s="15" t="s">
        <v>244</v>
      </c>
      <c r="X400" s="15">
        <f t="shared" si="172"/>
        <v>10120</v>
      </c>
      <c r="Y400" s="15">
        <v>9474</v>
      </c>
      <c r="Z400" s="15">
        <v>9143</v>
      </c>
      <c r="AA400" s="15">
        <v>8622</v>
      </c>
      <c r="AB400" s="40">
        <v>6787</v>
      </c>
      <c r="AC400" s="15">
        <f t="shared" si="173"/>
        <v>521</v>
      </c>
      <c r="AD400" s="1"/>
      <c r="AE400" s="3">
        <v>1</v>
      </c>
      <c r="AF400" s="1" t="s">
        <v>244</v>
      </c>
      <c r="AG400" s="1">
        <v>8622</v>
      </c>
      <c r="AH400" s="14"/>
      <c r="AJ400" s="81" t="s">
        <v>565</v>
      </c>
      <c r="AK400" s="81">
        <v>46374.4</v>
      </c>
      <c r="AL400" s="81">
        <v>0</v>
      </c>
      <c r="AM400" s="81">
        <v>0</v>
      </c>
      <c r="AN400" s="81">
        <v>1713.94</v>
      </c>
      <c r="AO400" s="81">
        <v>0</v>
      </c>
      <c r="AR400" s="32" t="s">
        <v>319</v>
      </c>
      <c r="AS400" s="57">
        <v>47359</v>
      </c>
      <c r="AT400" s="57">
        <v>0</v>
      </c>
      <c r="AU400" s="57">
        <v>0</v>
      </c>
      <c r="AV400" s="57">
        <v>3319.98</v>
      </c>
      <c r="AW400" s="57">
        <v>0</v>
      </c>
      <c r="AZ400" s="32" t="s">
        <v>496</v>
      </c>
      <c r="BA400" s="57">
        <v>47359</v>
      </c>
      <c r="BB400" s="57">
        <v>0</v>
      </c>
      <c r="BC400" s="57">
        <v>0</v>
      </c>
      <c r="BD400" s="57">
        <v>3319.98</v>
      </c>
      <c r="BE400" s="57">
        <v>0</v>
      </c>
      <c r="BF400" s="50"/>
      <c r="BH400" s="32" t="s">
        <v>319</v>
      </c>
      <c r="BI400" s="33">
        <v>44125</v>
      </c>
      <c r="BJ400" s="33">
        <v>0</v>
      </c>
      <c r="BK400" s="33">
        <v>0</v>
      </c>
      <c r="BL400" s="33">
        <v>3215</v>
      </c>
      <c r="BM400" s="33">
        <v>728</v>
      </c>
    </row>
    <row r="401" spans="1:65" ht="21">
      <c r="A401" s="15" t="s">
        <v>248</v>
      </c>
      <c r="B401" s="28"/>
      <c r="C401" s="29">
        <f t="shared" si="159"/>
        <v>191383</v>
      </c>
      <c r="D401" s="21">
        <f t="shared" si="160"/>
        <v>0</v>
      </c>
      <c r="E401" s="15">
        <f t="shared" si="171"/>
        <v>191383</v>
      </c>
      <c r="F401" s="15"/>
      <c r="G401" s="15">
        <f t="shared" si="161"/>
        <v>0</v>
      </c>
      <c r="H401" s="21">
        <f t="shared" si="162"/>
        <v>0</v>
      </c>
      <c r="I401" s="15">
        <f t="shared" si="163"/>
        <v>0</v>
      </c>
      <c r="J401" s="21">
        <f t="shared" si="164"/>
        <v>0</v>
      </c>
      <c r="K401" s="15">
        <f t="shared" si="165"/>
        <v>0</v>
      </c>
      <c r="L401" s="15">
        <f t="shared" si="166"/>
        <v>0</v>
      </c>
      <c r="M401" s="15"/>
      <c r="N401" s="15">
        <f t="shared" si="174"/>
        <v>191383</v>
      </c>
      <c r="O401" s="15">
        <f t="shared" si="167"/>
        <v>170844.7</v>
      </c>
      <c r="P401" s="15"/>
      <c r="Q401" s="30" t="s">
        <v>44</v>
      </c>
      <c r="R401" s="15"/>
      <c r="S401" s="76">
        <f t="shared" si="168"/>
        <v>43698</v>
      </c>
      <c r="T401" s="15">
        <f t="shared" si="169"/>
        <v>4370</v>
      </c>
      <c r="U401" s="15">
        <f t="shared" si="170"/>
        <v>48068</v>
      </c>
      <c r="V401" s="15"/>
      <c r="W401" s="15" t="s">
        <v>248</v>
      </c>
      <c r="X401" s="15">
        <f t="shared" si="172"/>
        <v>43698</v>
      </c>
      <c r="Y401" s="15">
        <v>42119</v>
      </c>
      <c r="Z401" s="15">
        <v>38649</v>
      </c>
      <c r="AA401" s="15">
        <v>36919</v>
      </c>
      <c r="AB401" s="40">
        <v>38049</v>
      </c>
      <c r="AC401" s="15">
        <f t="shared" si="173"/>
        <v>1730</v>
      </c>
      <c r="AD401" s="1"/>
      <c r="AE401" s="3">
        <v>1</v>
      </c>
      <c r="AF401" s="1" t="s">
        <v>248</v>
      </c>
      <c r="AG401" s="1">
        <v>36919</v>
      </c>
      <c r="AH401" s="14"/>
      <c r="AJ401" s="81" t="s">
        <v>567</v>
      </c>
      <c r="AK401" s="81">
        <v>191383</v>
      </c>
      <c r="AL401" s="81">
        <v>0</v>
      </c>
      <c r="AM401" s="81">
        <v>0</v>
      </c>
      <c r="AN401" s="81">
        <v>0</v>
      </c>
      <c r="AO401" s="81">
        <v>0</v>
      </c>
      <c r="AR401" s="32" t="s">
        <v>317</v>
      </c>
      <c r="AS401" s="57">
        <v>197797</v>
      </c>
      <c r="AT401" s="57">
        <v>0</v>
      </c>
      <c r="AU401" s="57">
        <v>0</v>
      </c>
      <c r="AV401" s="57">
        <v>0</v>
      </c>
      <c r="AW401" s="57">
        <v>0</v>
      </c>
      <c r="AZ401" s="32" t="s">
        <v>317</v>
      </c>
      <c r="BA401" s="57">
        <v>197797</v>
      </c>
      <c r="BB401" s="57">
        <v>0</v>
      </c>
      <c r="BC401" s="57">
        <v>0</v>
      </c>
      <c r="BD401" s="57">
        <v>0</v>
      </c>
      <c r="BE401" s="57">
        <v>0</v>
      </c>
      <c r="BF401" s="50"/>
      <c r="BH401" s="32" t="s">
        <v>317</v>
      </c>
      <c r="BI401" s="33">
        <v>173936.15</v>
      </c>
      <c r="BJ401" s="33">
        <v>0</v>
      </c>
      <c r="BK401" s="33">
        <v>0</v>
      </c>
      <c r="BL401" s="33">
        <v>0</v>
      </c>
      <c r="BM401" s="33">
        <v>0</v>
      </c>
    </row>
    <row r="402" spans="1:65" ht="21">
      <c r="A402" s="15" t="s">
        <v>253</v>
      </c>
      <c r="B402" s="28"/>
      <c r="C402" s="29">
        <f t="shared" si="159"/>
        <v>40453.91</v>
      </c>
      <c r="D402" s="21">
        <f t="shared" si="160"/>
        <v>0</v>
      </c>
      <c r="E402" s="15">
        <f t="shared" si="171"/>
        <v>40453.91</v>
      </c>
      <c r="F402" s="15"/>
      <c r="G402" s="15">
        <f t="shared" si="161"/>
        <v>0</v>
      </c>
      <c r="H402" s="21">
        <f t="shared" si="162"/>
        <v>9466.86</v>
      </c>
      <c r="I402" s="15">
        <f t="shared" si="163"/>
        <v>4733.43</v>
      </c>
      <c r="J402" s="21">
        <f t="shared" si="164"/>
        <v>0</v>
      </c>
      <c r="K402" s="15">
        <f t="shared" si="165"/>
        <v>0</v>
      </c>
      <c r="L402" s="15">
        <f t="shared" si="166"/>
        <v>4733.43</v>
      </c>
      <c r="M402" s="15"/>
      <c r="N402" s="15">
        <f t="shared" si="174"/>
        <v>35720.48</v>
      </c>
      <c r="O402" s="15">
        <f t="shared" si="167"/>
        <v>30748.432000000004</v>
      </c>
      <c r="P402" s="15"/>
      <c r="Q402" s="30" t="s">
        <v>44</v>
      </c>
      <c r="R402" s="15"/>
      <c r="S402" s="76">
        <f t="shared" si="168"/>
        <v>7865</v>
      </c>
      <c r="T402" s="15">
        <f t="shared" si="169"/>
        <v>787</v>
      </c>
      <c r="U402" s="15">
        <f t="shared" si="170"/>
        <v>8652</v>
      </c>
      <c r="V402" s="15"/>
      <c r="W402" s="15" t="s">
        <v>209</v>
      </c>
      <c r="X402" s="15">
        <f t="shared" si="172"/>
        <v>7865</v>
      </c>
      <c r="Y402" s="15">
        <v>9428</v>
      </c>
      <c r="Z402" s="15">
        <v>10762</v>
      </c>
      <c r="AA402" s="15">
        <v>13647</v>
      </c>
      <c r="AB402" s="40">
        <v>12750</v>
      </c>
      <c r="AC402" s="15">
        <f t="shared" si="173"/>
        <v>-2885</v>
      </c>
      <c r="AD402" s="1"/>
      <c r="AE402" s="3">
        <v>1</v>
      </c>
      <c r="AF402" s="1" t="s">
        <v>209</v>
      </c>
      <c r="AG402" s="1">
        <v>13647</v>
      </c>
      <c r="AH402" s="1"/>
      <c r="AJ402" s="81" t="s">
        <v>563</v>
      </c>
      <c r="AK402" s="81">
        <v>40453.91</v>
      </c>
      <c r="AL402" s="81">
        <v>0</v>
      </c>
      <c r="AM402" s="81">
        <v>0</v>
      </c>
      <c r="AN402" s="81">
        <v>9466.86</v>
      </c>
      <c r="AO402" s="81">
        <v>0</v>
      </c>
      <c r="AR402" s="32" t="s">
        <v>321</v>
      </c>
      <c r="AS402" s="57">
        <v>45482.17</v>
      </c>
      <c r="AT402" s="57"/>
      <c r="AU402" s="57">
        <v>0</v>
      </c>
      <c r="AV402" s="57">
        <v>0</v>
      </c>
      <c r="AW402" s="57">
        <v>0</v>
      </c>
      <c r="AZ402" s="32" t="s">
        <v>490</v>
      </c>
      <c r="BA402" s="57">
        <v>45482.17</v>
      </c>
      <c r="BB402" s="57"/>
      <c r="BC402" s="57">
        <v>0</v>
      </c>
      <c r="BD402" s="57">
        <v>0</v>
      </c>
      <c r="BE402" s="57">
        <v>0</v>
      </c>
      <c r="BF402" s="50"/>
      <c r="BH402" s="32" t="s">
        <v>321</v>
      </c>
      <c r="BI402" s="33">
        <v>66071</v>
      </c>
      <c r="BJ402" s="33">
        <v>0</v>
      </c>
      <c r="BK402" s="33">
        <v>0</v>
      </c>
      <c r="BL402" s="33">
        <v>0</v>
      </c>
      <c r="BM402" s="33">
        <v>66071</v>
      </c>
    </row>
    <row r="403" spans="1:65" ht="21.75">
      <c r="A403" s="15" t="s">
        <v>147</v>
      </c>
      <c r="B403" s="62" t="s">
        <v>105</v>
      </c>
      <c r="C403" s="29">
        <f t="shared" si="159"/>
        <v>112504</v>
      </c>
      <c r="D403" s="21">
        <f t="shared" si="160"/>
        <v>0</v>
      </c>
      <c r="E403" s="15">
        <f t="shared" si="171"/>
        <v>112504</v>
      </c>
      <c r="F403" s="15"/>
      <c r="G403" s="15">
        <f t="shared" si="161"/>
        <v>0</v>
      </c>
      <c r="H403" s="21">
        <f t="shared" si="162"/>
        <v>0</v>
      </c>
      <c r="I403" s="15">
        <f t="shared" si="163"/>
        <v>0</v>
      </c>
      <c r="J403" s="21">
        <f t="shared" si="164"/>
        <v>0</v>
      </c>
      <c r="K403" s="15">
        <f t="shared" si="165"/>
        <v>0</v>
      </c>
      <c r="L403" s="15">
        <f t="shared" si="166"/>
        <v>0</v>
      </c>
      <c r="M403" s="15"/>
      <c r="N403" s="15">
        <f t="shared" si="174"/>
        <v>112504</v>
      </c>
      <c r="O403" s="15">
        <f t="shared" si="167"/>
        <v>99853.6</v>
      </c>
      <c r="P403" s="15"/>
      <c r="Q403" s="30" t="s">
        <v>44</v>
      </c>
      <c r="R403" s="15"/>
      <c r="S403" s="76">
        <f t="shared" si="168"/>
        <v>25540</v>
      </c>
      <c r="T403" s="15">
        <f t="shared" si="169"/>
        <v>2554</v>
      </c>
      <c r="U403" s="15">
        <f t="shared" si="170"/>
        <v>28094</v>
      </c>
      <c r="V403" s="15"/>
      <c r="W403" s="15" t="s">
        <v>147</v>
      </c>
      <c r="X403" s="15">
        <f t="shared" si="172"/>
        <v>25540</v>
      </c>
      <c r="Y403" s="15">
        <v>23812</v>
      </c>
      <c r="Z403" s="15">
        <v>27392</v>
      </c>
      <c r="AA403" s="15">
        <v>24742</v>
      </c>
      <c r="AB403" s="40">
        <v>22784</v>
      </c>
      <c r="AC403" s="15">
        <f t="shared" si="173"/>
        <v>2650</v>
      </c>
      <c r="AD403" s="1"/>
      <c r="AE403" s="3">
        <v>1</v>
      </c>
      <c r="AF403" s="1" t="s">
        <v>147</v>
      </c>
      <c r="AG403" s="1">
        <v>24742</v>
      </c>
      <c r="AH403" s="1"/>
      <c r="AI403" s="39"/>
      <c r="AJ403" s="89"/>
      <c r="AK403" s="91">
        <f>AS403</f>
        <v>112504</v>
      </c>
      <c r="AL403" s="91">
        <f>AT403</f>
        <v>0</v>
      </c>
      <c r="AM403" s="91">
        <f>AU403</f>
        <v>0</v>
      </c>
      <c r="AN403" s="91">
        <f>AV403</f>
        <v>0</v>
      </c>
      <c r="AO403" s="91">
        <f>AW403</f>
        <v>0</v>
      </c>
      <c r="AR403" s="32" t="s">
        <v>389</v>
      </c>
      <c r="AS403" s="57">
        <v>112504</v>
      </c>
      <c r="AT403" s="57">
        <v>0</v>
      </c>
      <c r="AU403" s="57">
        <v>0</v>
      </c>
      <c r="AV403" s="57">
        <v>0</v>
      </c>
      <c r="AW403" s="57">
        <v>0</v>
      </c>
      <c r="AZ403" s="32" t="s">
        <v>488</v>
      </c>
      <c r="BA403" s="57">
        <v>112504</v>
      </c>
      <c r="BB403" s="57">
        <v>0</v>
      </c>
      <c r="BC403" s="57">
        <v>0</v>
      </c>
      <c r="BD403" s="57">
        <v>0</v>
      </c>
      <c r="BE403" s="57">
        <v>0</v>
      </c>
      <c r="BF403" s="50"/>
      <c r="BH403" s="32" t="s">
        <v>389</v>
      </c>
      <c r="BI403" s="50">
        <f>112479*1.1</f>
        <v>123726.90000000001</v>
      </c>
      <c r="BJ403" s="50">
        <v>0</v>
      </c>
      <c r="BK403" s="50">
        <v>0</v>
      </c>
      <c r="BL403" s="50">
        <v>0</v>
      </c>
      <c r="BM403" s="50">
        <v>0</v>
      </c>
    </row>
    <row r="404" spans="1:65" ht="21">
      <c r="A404" s="15" t="s">
        <v>210</v>
      </c>
      <c r="B404" s="28"/>
      <c r="C404" s="29">
        <f t="shared" si="159"/>
        <v>14521</v>
      </c>
      <c r="D404" s="21">
        <f t="shared" si="160"/>
        <v>0</v>
      </c>
      <c r="E404" s="15">
        <f t="shared" si="171"/>
        <v>14521</v>
      </c>
      <c r="F404" s="15"/>
      <c r="G404" s="15">
        <f t="shared" si="161"/>
        <v>0</v>
      </c>
      <c r="H404" s="21">
        <f t="shared" si="162"/>
        <v>0</v>
      </c>
      <c r="I404" s="15">
        <f t="shared" si="163"/>
        <v>0</v>
      </c>
      <c r="J404" s="21">
        <f t="shared" si="164"/>
        <v>0</v>
      </c>
      <c r="K404" s="15">
        <f t="shared" si="165"/>
        <v>0</v>
      </c>
      <c r="L404" s="15">
        <f t="shared" si="166"/>
        <v>0</v>
      </c>
      <c r="M404" s="15"/>
      <c r="N404" s="15">
        <f t="shared" si="174"/>
        <v>14521</v>
      </c>
      <c r="O404" s="15">
        <f t="shared" si="167"/>
        <v>11668.9</v>
      </c>
      <c r="P404" s="15"/>
      <c r="Q404" s="30" t="s">
        <v>44</v>
      </c>
      <c r="R404" s="15"/>
      <c r="S404" s="76">
        <f t="shared" si="168"/>
        <v>2985</v>
      </c>
      <c r="T404" s="15">
        <f t="shared" si="169"/>
        <v>299</v>
      </c>
      <c r="U404" s="15">
        <f t="shared" si="170"/>
        <v>3284</v>
      </c>
      <c r="V404" s="15"/>
      <c r="W404" s="15" t="s">
        <v>210</v>
      </c>
      <c r="X404" s="15">
        <f t="shared" si="172"/>
        <v>2985</v>
      </c>
      <c r="Y404" s="15">
        <v>3625</v>
      </c>
      <c r="Z404" s="15">
        <v>3865</v>
      </c>
      <c r="AA404" s="15">
        <v>3286</v>
      </c>
      <c r="AB404" s="40">
        <v>3036</v>
      </c>
      <c r="AC404" s="15">
        <f t="shared" si="173"/>
        <v>579</v>
      </c>
      <c r="AD404" s="1"/>
      <c r="AE404" s="3">
        <v>1</v>
      </c>
      <c r="AF404" s="1" t="s">
        <v>210</v>
      </c>
      <c r="AG404" s="1">
        <v>3286</v>
      </c>
      <c r="AH404" s="1"/>
      <c r="AJ404" s="81" t="s">
        <v>325</v>
      </c>
      <c r="AK404" s="81">
        <v>14521</v>
      </c>
      <c r="AL404" s="81">
        <v>0</v>
      </c>
      <c r="AM404" s="81">
        <v>0</v>
      </c>
      <c r="AN404" s="81">
        <v>0</v>
      </c>
      <c r="AO404" s="81">
        <v>0</v>
      </c>
      <c r="AR404" s="32" t="s">
        <v>325</v>
      </c>
      <c r="AS404" s="57">
        <v>18444</v>
      </c>
      <c r="AT404" s="57">
        <v>0</v>
      </c>
      <c r="AU404" s="57">
        <v>0</v>
      </c>
      <c r="AV404" s="57">
        <v>0</v>
      </c>
      <c r="AW404" s="57">
        <v>0</v>
      </c>
      <c r="AZ404" s="32" t="s">
        <v>325</v>
      </c>
      <c r="BA404" s="57">
        <v>18444</v>
      </c>
      <c r="BB404" s="57">
        <v>0</v>
      </c>
      <c r="BC404" s="57">
        <v>0</v>
      </c>
      <c r="BD404" s="57">
        <v>0</v>
      </c>
      <c r="BE404" s="57">
        <v>0</v>
      </c>
      <c r="BF404" s="50"/>
      <c r="BH404" s="32" t="s">
        <v>325</v>
      </c>
      <c r="BI404" s="33">
        <v>18947</v>
      </c>
      <c r="BJ404" s="33">
        <v>0</v>
      </c>
      <c r="BK404" s="33">
        <v>154</v>
      </c>
      <c r="BL404" s="33">
        <v>0</v>
      </c>
      <c r="BM404" s="33">
        <v>0</v>
      </c>
    </row>
    <row r="405" spans="1:65" ht="21.75">
      <c r="A405" s="15" t="s">
        <v>211</v>
      </c>
      <c r="B405" s="62" t="s">
        <v>105</v>
      </c>
      <c r="C405" s="29">
        <f t="shared" si="159"/>
        <v>13507</v>
      </c>
      <c r="D405" s="21">
        <f t="shared" si="160"/>
        <v>0</v>
      </c>
      <c r="E405" s="15">
        <f t="shared" si="171"/>
        <v>13507</v>
      </c>
      <c r="F405" s="15"/>
      <c r="G405" s="15">
        <f t="shared" si="161"/>
        <v>0</v>
      </c>
      <c r="H405" s="21">
        <f t="shared" si="162"/>
        <v>0</v>
      </c>
      <c r="I405" s="15">
        <f t="shared" si="163"/>
        <v>0</v>
      </c>
      <c r="J405" s="21">
        <f t="shared" si="164"/>
        <v>0</v>
      </c>
      <c r="K405" s="15">
        <f t="shared" si="165"/>
        <v>0</v>
      </c>
      <c r="L405" s="15">
        <f t="shared" si="166"/>
        <v>0</v>
      </c>
      <c r="M405" s="15"/>
      <c r="N405" s="15">
        <f t="shared" si="174"/>
        <v>13507</v>
      </c>
      <c r="O405" s="15">
        <f t="shared" si="167"/>
        <v>10756.300000000001</v>
      </c>
      <c r="P405" s="15"/>
      <c r="Q405" s="30" t="s">
        <v>44</v>
      </c>
      <c r="R405" s="15"/>
      <c r="S405" s="76">
        <f t="shared" si="168"/>
        <v>2751</v>
      </c>
      <c r="T405" s="15">
        <f t="shared" si="169"/>
        <v>275</v>
      </c>
      <c r="U405" s="15">
        <f t="shared" si="170"/>
        <v>3026</v>
      </c>
      <c r="V405" s="15"/>
      <c r="W405" s="15" t="s">
        <v>211</v>
      </c>
      <c r="X405" s="15">
        <f t="shared" si="172"/>
        <v>2751</v>
      </c>
      <c r="Y405" s="15">
        <v>2565</v>
      </c>
      <c r="Z405" s="15">
        <v>2896</v>
      </c>
      <c r="AA405" s="15">
        <v>2442</v>
      </c>
      <c r="AB405" s="40">
        <v>2807</v>
      </c>
      <c r="AC405" s="15">
        <f t="shared" si="173"/>
        <v>454</v>
      </c>
      <c r="AD405" s="1"/>
      <c r="AE405" s="3">
        <v>1</v>
      </c>
      <c r="AF405" s="1" t="s">
        <v>211</v>
      </c>
      <c r="AG405" s="1">
        <v>2442</v>
      </c>
      <c r="AH405" s="1"/>
      <c r="AJ405" s="89"/>
      <c r="AK405" s="91">
        <f aca="true" t="shared" si="175" ref="AK405:AO406">AS405</f>
        <v>13507</v>
      </c>
      <c r="AL405" s="91">
        <f t="shared" si="175"/>
        <v>0</v>
      </c>
      <c r="AM405" s="91">
        <f t="shared" si="175"/>
        <v>0</v>
      </c>
      <c r="AN405" s="91">
        <f t="shared" si="175"/>
        <v>0</v>
      </c>
      <c r="AO405" s="91">
        <f t="shared" si="175"/>
        <v>0</v>
      </c>
      <c r="AR405" s="32" t="s">
        <v>330</v>
      </c>
      <c r="AS405" s="57">
        <v>13507</v>
      </c>
      <c r="AT405" s="57">
        <v>0</v>
      </c>
      <c r="AU405" s="57">
        <v>0</v>
      </c>
      <c r="AV405" s="57">
        <v>0</v>
      </c>
      <c r="AW405" s="57">
        <v>0</v>
      </c>
      <c r="AZ405" s="32" t="s">
        <v>330</v>
      </c>
      <c r="BA405" s="57">
        <v>13507</v>
      </c>
      <c r="BB405" s="57">
        <v>0</v>
      </c>
      <c r="BC405" s="57">
        <v>0</v>
      </c>
      <c r="BD405" s="57">
        <v>0</v>
      </c>
      <c r="BE405" s="57">
        <v>0</v>
      </c>
      <c r="BF405" s="50"/>
      <c r="BH405" s="32" t="s">
        <v>330</v>
      </c>
      <c r="BI405" s="33">
        <v>14472</v>
      </c>
      <c r="BJ405" s="33">
        <v>0</v>
      </c>
      <c r="BK405" s="33">
        <v>0</v>
      </c>
      <c r="BL405" s="33">
        <v>0</v>
      </c>
      <c r="BM405" s="33">
        <v>0</v>
      </c>
    </row>
    <row r="406" spans="1:65" ht="21.75">
      <c r="A406" s="15" t="s">
        <v>242</v>
      </c>
      <c r="B406" s="62" t="s">
        <v>105</v>
      </c>
      <c r="C406" s="29">
        <f t="shared" si="159"/>
        <v>13131.800000000001</v>
      </c>
      <c r="D406" s="21">
        <f t="shared" si="160"/>
        <v>0</v>
      </c>
      <c r="E406" s="15">
        <f t="shared" si="171"/>
        <v>13131.800000000001</v>
      </c>
      <c r="F406" s="15"/>
      <c r="G406" s="15">
        <f t="shared" si="161"/>
        <v>0</v>
      </c>
      <c r="H406" s="21">
        <f t="shared" si="162"/>
        <v>0</v>
      </c>
      <c r="I406" s="15">
        <f t="shared" si="163"/>
        <v>0</v>
      </c>
      <c r="J406" s="21">
        <f t="shared" si="164"/>
        <v>0</v>
      </c>
      <c r="K406" s="15">
        <f t="shared" si="165"/>
        <v>0</v>
      </c>
      <c r="L406" s="15">
        <f t="shared" si="166"/>
        <v>0</v>
      </c>
      <c r="M406" s="15"/>
      <c r="N406" s="15">
        <f t="shared" si="174"/>
        <v>13131.800000000001</v>
      </c>
      <c r="O406" s="15">
        <f t="shared" si="167"/>
        <v>10418.62</v>
      </c>
      <c r="P406" s="15"/>
      <c r="Q406" s="30" t="s">
        <v>44</v>
      </c>
      <c r="R406" s="15"/>
      <c r="S406" s="76">
        <f t="shared" si="168"/>
        <v>2665</v>
      </c>
      <c r="T406" s="15">
        <f t="shared" si="169"/>
        <v>267</v>
      </c>
      <c r="U406" s="15">
        <f t="shared" si="170"/>
        <v>2932</v>
      </c>
      <c r="V406" s="15"/>
      <c r="W406" s="15" t="s">
        <v>242</v>
      </c>
      <c r="X406" s="15">
        <f t="shared" si="172"/>
        <v>2665</v>
      </c>
      <c r="Y406" s="15">
        <v>2485</v>
      </c>
      <c r="Z406" s="15">
        <v>2328</v>
      </c>
      <c r="AA406" s="15">
        <v>2220</v>
      </c>
      <c r="AB406" s="40">
        <v>2003</v>
      </c>
      <c r="AC406" s="15">
        <f t="shared" si="173"/>
        <v>108</v>
      </c>
      <c r="AD406" s="1"/>
      <c r="AE406" s="3">
        <v>1</v>
      </c>
      <c r="AF406" s="1" t="s">
        <v>242</v>
      </c>
      <c r="AG406" s="1">
        <v>2220</v>
      </c>
      <c r="AH406" s="1"/>
      <c r="AJ406" s="89"/>
      <c r="AK406" s="91">
        <f t="shared" si="175"/>
        <v>13131.800000000001</v>
      </c>
      <c r="AL406" s="91">
        <f t="shared" si="175"/>
        <v>0</v>
      </c>
      <c r="AM406" s="91">
        <f t="shared" si="175"/>
        <v>0</v>
      </c>
      <c r="AN406" s="91">
        <f t="shared" si="175"/>
        <v>0</v>
      </c>
      <c r="AO406" s="91">
        <f t="shared" si="175"/>
        <v>0</v>
      </c>
      <c r="AR406" s="32" t="s">
        <v>324</v>
      </c>
      <c r="AS406" s="65">
        <f>11938*1.1</f>
        <v>13131.800000000001</v>
      </c>
      <c r="AT406" s="57"/>
      <c r="AU406" s="57"/>
      <c r="AV406" s="57"/>
      <c r="AW406" s="57"/>
      <c r="AZ406" s="32" t="s">
        <v>492</v>
      </c>
      <c r="BA406" s="57"/>
      <c r="BB406" s="57"/>
      <c r="BC406" s="57"/>
      <c r="BD406" s="57"/>
      <c r="BE406" s="57"/>
      <c r="BF406" s="50"/>
      <c r="BH406" s="32" t="s">
        <v>324</v>
      </c>
      <c r="BI406" s="33">
        <v>11938</v>
      </c>
      <c r="BJ406" s="33">
        <v>0</v>
      </c>
      <c r="BK406" s="33">
        <v>0</v>
      </c>
      <c r="BL406" s="33">
        <v>0</v>
      </c>
      <c r="BM406" s="33">
        <v>0</v>
      </c>
    </row>
    <row r="407" spans="1:65" ht="21">
      <c r="A407" s="15" t="s">
        <v>148</v>
      </c>
      <c r="B407" s="28"/>
      <c r="C407" s="29">
        <f t="shared" si="159"/>
        <v>72627</v>
      </c>
      <c r="D407" s="21">
        <f t="shared" si="160"/>
        <v>0</v>
      </c>
      <c r="E407" s="15">
        <f t="shared" si="171"/>
        <v>72627</v>
      </c>
      <c r="F407" s="15"/>
      <c r="G407" s="15">
        <f t="shared" si="161"/>
        <v>0</v>
      </c>
      <c r="H407" s="21">
        <f t="shared" si="162"/>
        <v>0</v>
      </c>
      <c r="I407" s="15">
        <f t="shared" si="163"/>
        <v>0</v>
      </c>
      <c r="J407" s="21">
        <f t="shared" si="164"/>
        <v>0</v>
      </c>
      <c r="K407" s="15">
        <f t="shared" si="165"/>
        <v>0</v>
      </c>
      <c r="L407" s="15">
        <f t="shared" si="166"/>
        <v>0</v>
      </c>
      <c r="M407" s="15"/>
      <c r="N407" s="15">
        <f t="shared" si="174"/>
        <v>72627</v>
      </c>
      <c r="O407" s="15">
        <f t="shared" si="167"/>
        <v>63964.3</v>
      </c>
      <c r="P407" s="15"/>
      <c r="Q407" s="30" t="s">
        <v>44</v>
      </c>
      <c r="R407" s="15"/>
      <c r="S407" s="76">
        <f t="shared" si="168"/>
        <v>16361</v>
      </c>
      <c r="T407" s="15">
        <f t="shared" si="169"/>
        <v>1636</v>
      </c>
      <c r="U407" s="15">
        <f t="shared" si="170"/>
        <v>17997</v>
      </c>
      <c r="V407" s="15"/>
      <c r="W407" s="15" t="s">
        <v>148</v>
      </c>
      <c r="X407" s="15">
        <f t="shared" si="172"/>
        <v>16361</v>
      </c>
      <c r="Y407" s="15">
        <v>17570</v>
      </c>
      <c r="Z407" s="15">
        <v>18472</v>
      </c>
      <c r="AA407" s="15">
        <v>16643</v>
      </c>
      <c r="AB407" s="40">
        <v>16171</v>
      </c>
      <c r="AC407" s="15">
        <f t="shared" si="173"/>
        <v>1829</v>
      </c>
      <c r="AD407" s="1"/>
      <c r="AE407" s="3">
        <v>1</v>
      </c>
      <c r="AF407" s="1" t="s">
        <v>148</v>
      </c>
      <c r="AG407" s="1">
        <v>16643</v>
      </c>
      <c r="AH407" s="14"/>
      <c r="AJ407" s="81" t="s">
        <v>564</v>
      </c>
      <c r="AK407" s="84">
        <v>72627</v>
      </c>
      <c r="AL407" s="84">
        <v>0</v>
      </c>
      <c r="AM407" s="84">
        <v>0</v>
      </c>
      <c r="AN407" s="84">
        <v>0</v>
      </c>
      <c r="AO407" s="81">
        <v>0</v>
      </c>
      <c r="AR407" s="32" t="s">
        <v>323</v>
      </c>
      <c r="AS407" s="57">
        <v>83418</v>
      </c>
      <c r="AT407" s="57">
        <v>0</v>
      </c>
      <c r="AU407" s="57">
        <v>0</v>
      </c>
      <c r="AV407" s="57">
        <v>0</v>
      </c>
      <c r="AW407" s="57">
        <v>0</v>
      </c>
      <c r="AZ407" s="32" t="s">
        <v>323</v>
      </c>
      <c r="BA407" s="57">
        <v>83418</v>
      </c>
      <c r="BB407" s="57">
        <v>0</v>
      </c>
      <c r="BC407" s="57">
        <v>0</v>
      </c>
      <c r="BD407" s="57">
        <v>0</v>
      </c>
      <c r="BE407" s="57">
        <v>0</v>
      </c>
      <c r="BF407" s="50"/>
      <c r="BH407" s="32" t="s">
        <v>323</v>
      </c>
      <c r="BI407" s="33">
        <v>83944</v>
      </c>
      <c r="BJ407" s="33">
        <v>0</v>
      </c>
      <c r="BK407" s="33">
        <v>0</v>
      </c>
      <c r="BL407" s="33">
        <v>0</v>
      </c>
      <c r="BM407" s="33">
        <v>0</v>
      </c>
    </row>
    <row r="408" spans="1:65" ht="21.75">
      <c r="A408" s="15" t="s">
        <v>149</v>
      </c>
      <c r="B408" s="62" t="s">
        <v>105</v>
      </c>
      <c r="C408" s="29">
        <f t="shared" si="159"/>
        <v>146865</v>
      </c>
      <c r="D408" s="21">
        <f t="shared" si="160"/>
        <v>0</v>
      </c>
      <c r="E408" s="15">
        <f t="shared" si="171"/>
        <v>146865</v>
      </c>
      <c r="F408" s="15"/>
      <c r="G408" s="15">
        <f t="shared" si="161"/>
        <v>0</v>
      </c>
      <c r="H408" s="21">
        <f t="shared" si="162"/>
        <v>21565</v>
      </c>
      <c r="I408" s="15">
        <f t="shared" si="163"/>
        <v>10782.5</v>
      </c>
      <c r="J408" s="21">
        <f t="shared" si="164"/>
        <v>0</v>
      </c>
      <c r="K408" s="15">
        <f t="shared" si="165"/>
        <v>0</v>
      </c>
      <c r="L408" s="15">
        <f t="shared" si="166"/>
        <v>10782.5</v>
      </c>
      <c r="M408" s="15"/>
      <c r="N408" s="15">
        <f t="shared" si="174"/>
        <v>136082.5</v>
      </c>
      <c r="O408" s="15">
        <f t="shared" si="167"/>
        <v>121074.25</v>
      </c>
      <c r="P408" s="15"/>
      <c r="Q408" s="30" t="s">
        <v>44</v>
      </c>
      <c r="R408" s="15"/>
      <c r="S408" s="76">
        <f t="shared" si="168"/>
        <v>30968</v>
      </c>
      <c r="T408" s="15">
        <f t="shared" si="169"/>
        <v>3097</v>
      </c>
      <c r="U408" s="15">
        <f t="shared" si="170"/>
        <v>34065</v>
      </c>
      <c r="V408" s="15"/>
      <c r="W408" s="15" t="s">
        <v>149</v>
      </c>
      <c r="X408" s="15">
        <f t="shared" si="172"/>
        <v>30968</v>
      </c>
      <c r="Y408" s="15">
        <v>28873</v>
      </c>
      <c r="Z408" s="15">
        <v>22766</v>
      </c>
      <c r="AA408" s="15">
        <v>21457</v>
      </c>
      <c r="AB408" s="40">
        <v>21578</v>
      </c>
      <c r="AC408" s="15">
        <f t="shared" si="173"/>
        <v>1309</v>
      </c>
      <c r="AD408" s="1"/>
      <c r="AE408" s="3">
        <v>1</v>
      </c>
      <c r="AF408" s="1" t="s">
        <v>149</v>
      </c>
      <c r="AG408" s="1">
        <v>21457</v>
      </c>
      <c r="AH408" s="14"/>
      <c r="AJ408" s="89"/>
      <c r="AK408" s="91">
        <f>AS408</f>
        <v>146865</v>
      </c>
      <c r="AL408" s="91">
        <f>AT408</f>
        <v>0</v>
      </c>
      <c r="AM408" s="91">
        <f>AU408</f>
        <v>0</v>
      </c>
      <c r="AN408" s="91">
        <f>AV408</f>
        <v>21565</v>
      </c>
      <c r="AO408" s="91">
        <f>AW408</f>
        <v>0</v>
      </c>
      <c r="AR408" s="32" t="s">
        <v>318</v>
      </c>
      <c r="AS408" s="57">
        <v>146865</v>
      </c>
      <c r="AT408" s="57">
        <v>0</v>
      </c>
      <c r="AU408" s="57">
        <v>0</v>
      </c>
      <c r="AV408" s="57">
        <v>21565</v>
      </c>
      <c r="AW408" s="57">
        <v>0</v>
      </c>
      <c r="AZ408" s="32" t="s">
        <v>318</v>
      </c>
      <c r="BA408" s="57">
        <v>146865</v>
      </c>
      <c r="BB408" s="57">
        <v>0</v>
      </c>
      <c r="BC408" s="57">
        <v>0</v>
      </c>
      <c r="BD408" s="57">
        <v>21565</v>
      </c>
      <c r="BE408" s="57">
        <v>0</v>
      </c>
      <c r="BF408" s="50"/>
      <c r="BH408" s="32" t="s">
        <v>318</v>
      </c>
      <c r="BI408" s="33">
        <v>126372</v>
      </c>
      <c r="BJ408" s="33">
        <v>0</v>
      </c>
      <c r="BK408" s="33">
        <v>0</v>
      </c>
      <c r="BL408" s="33">
        <v>46551</v>
      </c>
      <c r="BM408" s="33">
        <v>0</v>
      </c>
    </row>
    <row r="409" spans="1:65" ht="21">
      <c r="A409" s="15" t="s">
        <v>212</v>
      </c>
      <c r="B409" s="28"/>
      <c r="C409" s="29">
        <f t="shared" si="159"/>
        <v>13337</v>
      </c>
      <c r="D409" s="21">
        <f t="shared" si="160"/>
        <v>0</v>
      </c>
      <c r="E409" s="15">
        <f t="shared" si="171"/>
        <v>13337</v>
      </c>
      <c r="F409" s="15"/>
      <c r="G409" s="15">
        <f t="shared" si="161"/>
        <v>0</v>
      </c>
      <c r="H409" s="21">
        <f t="shared" si="162"/>
        <v>0</v>
      </c>
      <c r="I409" s="15">
        <f t="shared" si="163"/>
        <v>0</v>
      </c>
      <c r="J409" s="21">
        <f t="shared" si="164"/>
        <v>0</v>
      </c>
      <c r="K409" s="15">
        <f t="shared" si="165"/>
        <v>0</v>
      </c>
      <c r="L409" s="15">
        <f t="shared" si="166"/>
        <v>0</v>
      </c>
      <c r="M409" s="15"/>
      <c r="N409" s="15">
        <f t="shared" si="174"/>
        <v>13337</v>
      </c>
      <c r="O409" s="15">
        <f t="shared" si="167"/>
        <v>10603.300000000001</v>
      </c>
      <c r="P409" s="15"/>
      <c r="Q409" s="30" t="s">
        <v>44</v>
      </c>
      <c r="R409" s="15"/>
      <c r="S409" s="76">
        <f t="shared" si="168"/>
        <v>2712</v>
      </c>
      <c r="T409" s="15">
        <f t="shared" si="169"/>
        <v>271</v>
      </c>
      <c r="U409" s="15">
        <f t="shared" si="170"/>
        <v>2983</v>
      </c>
      <c r="V409" s="15"/>
      <c r="W409" s="15" t="s">
        <v>212</v>
      </c>
      <c r="X409" s="15">
        <f t="shared" si="172"/>
        <v>2712</v>
      </c>
      <c r="Y409" s="15">
        <v>3017</v>
      </c>
      <c r="Z409" s="15">
        <v>1438</v>
      </c>
      <c r="AA409" s="15">
        <v>2916</v>
      </c>
      <c r="AB409" s="40">
        <v>3172</v>
      </c>
      <c r="AC409" s="15">
        <f t="shared" si="173"/>
        <v>-1478</v>
      </c>
      <c r="AD409" s="1"/>
      <c r="AE409" s="3">
        <v>1</v>
      </c>
      <c r="AF409" s="1" t="s">
        <v>212</v>
      </c>
      <c r="AG409" s="1">
        <v>2916</v>
      </c>
      <c r="AH409" s="14"/>
      <c r="AJ409" s="81" t="s">
        <v>560</v>
      </c>
      <c r="AK409" s="84">
        <v>13337</v>
      </c>
      <c r="AL409" s="81">
        <v>0</v>
      </c>
      <c r="AM409" s="81">
        <v>0</v>
      </c>
      <c r="AN409" s="81">
        <v>0</v>
      </c>
      <c r="AO409" s="81">
        <v>0</v>
      </c>
      <c r="AR409" s="32" t="s">
        <v>331</v>
      </c>
      <c r="AS409" s="57">
        <v>15613</v>
      </c>
      <c r="AT409" s="57">
        <v>0</v>
      </c>
      <c r="AU409" s="57">
        <v>0</v>
      </c>
      <c r="AV409" s="57">
        <v>0</v>
      </c>
      <c r="AW409" s="57">
        <v>0</v>
      </c>
      <c r="AZ409" s="32" t="s">
        <v>491</v>
      </c>
      <c r="BA409" s="57">
        <v>15613</v>
      </c>
      <c r="BB409" s="57">
        <v>0</v>
      </c>
      <c r="BC409" s="57">
        <v>0</v>
      </c>
      <c r="BD409" s="57">
        <v>0</v>
      </c>
      <c r="BE409" s="57">
        <v>0</v>
      </c>
      <c r="BF409" s="50"/>
      <c r="BH409" s="32" t="s">
        <v>331</v>
      </c>
      <c r="BI409" s="33">
        <v>9076</v>
      </c>
      <c r="BJ409" s="33">
        <v>0</v>
      </c>
      <c r="BK409" s="33">
        <v>0</v>
      </c>
      <c r="BL409" s="33">
        <v>2212</v>
      </c>
      <c r="BM409" s="33">
        <v>0</v>
      </c>
    </row>
    <row r="410" spans="1:65" ht="21">
      <c r="A410" s="15" t="s">
        <v>396</v>
      </c>
      <c r="B410" s="28"/>
      <c r="C410" s="29">
        <f t="shared" si="159"/>
        <v>236516</v>
      </c>
      <c r="D410" s="21">
        <f t="shared" si="160"/>
        <v>0</v>
      </c>
      <c r="E410" s="15">
        <f t="shared" si="171"/>
        <v>236516</v>
      </c>
      <c r="F410" s="15"/>
      <c r="G410" s="15">
        <f t="shared" si="161"/>
        <v>21022</v>
      </c>
      <c r="H410" s="21">
        <f t="shared" si="162"/>
        <v>13192</v>
      </c>
      <c r="I410" s="15">
        <f t="shared" si="163"/>
        <v>6596</v>
      </c>
      <c r="J410" s="21">
        <f t="shared" si="164"/>
        <v>0</v>
      </c>
      <c r="K410" s="15">
        <f t="shared" si="165"/>
        <v>0</v>
      </c>
      <c r="L410" s="15">
        <f t="shared" si="166"/>
        <v>27618</v>
      </c>
      <c r="M410" s="15"/>
      <c r="N410" s="15">
        <f t="shared" si="174"/>
        <v>208898</v>
      </c>
      <c r="O410" s="15">
        <f t="shared" si="167"/>
        <v>186608.2</v>
      </c>
      <c r="P410" s="15"/>
      <c r="Q410" s="30" t="s">
        <v>44</v>
      </c>
      <c r="R410" s="15"/>
      <c r="S410" s="76">
        <f t="shared" si="168"/>
        <v>47730</v>
      </c>
      <c r="T410" s="15">
        <f t="shared" si="169"/>
        <v>4773</v>
      </c>
      <c r="U410" s="15">
        <f t="shared" si="170"/>
        <v>52503</v>
      </c>
      <c r="V410" s="15"/>
      <c r="W410" s="15" t="s">
        <v>396</v>
      </c>
      <c r="X410" s="15">
        <f t="shared" si="172"/>
        <v>47730</v>
      </c>
      <c r="Y410" s="15">
        <v>55428</v>
      </c>
      <c r="Z410" s="15">
        <v>52775</v>
      </c>
      <c r="AA410" s="15">
        <v>50000</v>
      </c>
      <c r="AB410" s="40">
        <v>50000</v>
      </c>
      <c r="AC410" s="15">
        <f t="shared" si="173"/>
        <v>2775</v>
      </c>
      <c r="AD410" s="1"/>
      <c r="AE410" s="3">
        <v>1</v>
      </c>
      <c r="AF410" s="1" t="s">
        <v>392</v>
      </c>
      <c r="AG410" s="1">
        <v>50000</v>
      </c>
      <c r="AH410" s="14"/>
      <c r="AJ410" s="81" t="s">
        <v>329</v>
      </c>
      <c r="AK410" s="81">
        <v>236516</v>
      </c>
      <c r="AL410" s="81">
        <v>0</v>
      </c>
      <c r="AM410" s="81">
        <v>21022</v>
      </c>
      <c r="AN410" s="81">
        <v>13192</v>
      </c>
      <c r="AO410" s="81">
        <v>0</v>
      </c>
      <c r="AR410" s="32" t="s">
        <v>329</v>
      </c>
      <c r="AS410" s="57">
        <v>297680</v>
      </c>
      <c r="AT410" s="57">
        <v>0</v>
      </c>
      <c r="AU410" s="57">
        <v>35821</v>
      </c>
      <c r="AV410" s="57">
        <v>4100</v>
      </c>
      <c r="AW410" s="57">
        <v>0</v>
      </c>
      <c r="AZ410" s="32" t="s">
        <v>329</v>
      </c>
      <c r="BA410" s="57">
        <v>297680</v>
      </c>
      <c r="BB410" s="57">
        <v>0</v>
      </c>
      <c r="BC410" s="57">
        <v>35821</v>
      </c>
      <c r="BD410" s="57">
        <v>4100</v>
      </c>
      <c r="BE410" s="57">
        <v>0</v>
      </c>
      <c r="BF410" s="50"/>
      <c r="BH410" s="32" t="s">
        <v>329</v>
      </c>
      <c r="BI410" s="33">
        <v>295976</v>
      </c>
      <c r="BJ410" s="33">
        <v>0</v>
      </c>
      <c r="BK410" s="33">
        <f>51595</f>
        <v>51595</v>
      </c>
      <c r="BL410" s="33">
        <v>0</v>
      </c>
      <c r="BM410" s="33">
        <v>29766</v>
      </c>
    </row>
    <row r="411" spans="1:65" ht="21">
      <c r="A411" s="15" t="s">
        <v>150</v>
      </c>
      <c r="B411" s="28"/>
      <c r="C411" s="29">
        <f t="shared" si="159"/>
        <v>74512.99</v>
      </c>
      <c r="D411" s="21">
        <f t="shared" si="160"/>
        <v>0</v>
      </c>
      <c r="E411" s="15">
        <f t="shared" si="171"/>
        <v>74512.99</v>
      </c>
      <c r="F411" s="15"/>
      <c r="G411" s="15">
        <f t="shared" si="161"/>
        <v>536.46</v>
      </c>
      <c r="H411" s="21">
        <f t="shared" si="162"/>
        <v>7306.77</v>
      </c>
      <c r="I411" s="15">
        <f t="shared" si="163"/>
        <v>3653.385</v>
      </c>
      <c r="J411" s="21">
        <f t="shared" si="164"/>
        <v>0</v>
      </c>
      <c r="K411" s="15">
        <f t="shared" si="165"/>
        <v>0</v>
      </c>
      <c r="L411" s="15">
        <f t="shared" si="166"/>
        <v>4189.845</v>
      </c>
      <c r="M411" s="15"/>
      <c r="N411" s="15">
        <f>E411-L411</f>
        <v>70323.145</v>
      </c>
      <c r="O411" s="15">
        <f>IF(N411&gt;=4000,(N411-4000)*0.9+2200,IF(N411&gt;=3000,(N411-3000)*0.8+1400,IF(N411&gt;=2000,(N411-2000)*0.6+800,IF(N411&gt;0,N411*0.4,0))))</f>
        <v>61890.830500000004</v>
      </c>
      <c r="P411" s="15"/>
      <c r="Q411" s="30" t="s">
        <v>44</v>
      </c>
      <c r="R411" s="15"/>
      <c r="S411" s="76">
        <f>ROUND(SUM(O411*$Q$10),0)</f>
        <v>15830</v>
      </c>
      <c r="T411" s="15">
        <f>ROUND(SUM(S411*0.1),0)</f>
        <v>1583</v>
      </c>
      <c r="U411" s="15">
        <f>SUM(S411:T411)</f>
        <v>17413</v>
      </c>
      <c r="V411" s="15"/>
      <c r="W411" s="15" t="s">
        <v>150</v>
      </c>
      <c r="X411" s="15">
        <f t="shared" si="172"/>
        <v>15830</v>
      </c>
      <c r="Y411" s="15">
        <v>15545</v>
      </c>
      <c r="Z411" s="15">
        <v>17459</v>
      </c>
      <c r="AA411" s="15">
        <v>16360</v>
      </c>
      <c r="AB411" s="40">
        <v>14570</v>
      </c>
      <c r="AC411" s="15">
        <f t="shared" si="173"/>
        <v>1099</v>
      </c>
      <c r="AD411" s="1"/>
      <c r="AE411" s="3">
        <v>1</v>
      </c>
      <c r="AF411" s="1" t="s">
        <v>150</v>
      </c>
      <c r="AG411" s="1">
        <v>16360</v>
      </c>
      <c r="AH411" s="14"/>
      <c r="AJ411" s="81" t="s">
        <v>320</v>
      </c>
      <c r="AK411" s="81">
        <v>74512.99</v>
      </c>
      <c r="AL411" s="81">
        <v>0</v>
      </c>
      <c r="AM411" s="81">
        <v>536.46</v>
      </c>
      <c r="AN411" s="81">
        <v>7306.77</v>
      </c>
      <c r="AO411" s="81">
        <v>0</v>
      </c>
      <c r="AR411" s="32" t="s">
        <v>320</v>
      </c>
      <c r="AS411" s="57">
        <v>77522</v>
      </c>
      <c r="AT411" s="57">
        <v>0</v>
      </c>
      <c r="AU411" s="57">
        <v>0</v>
      </c>
      <c r="AV411" s="57">
        <v>7076</v>
      </c>
      <c r="AW411" s="57">
        <v>0</v>
      </c>
      <c r="AZ411" s="32" t="s">
        <v>320</v>
      </c>
      <c r="BA411" s="57">
        <v>77522</v>
      </c>
      <c r="BB411" s="57">
        <v>0</v>
      </c>
      <c r="BC411" s="57">
        <v>0</v>
      </c>
      <c r="BD411" s="57">
        <v>7076</v>
      </c>
      <c r="BE411" s="57">
        <v>0</v>
      </c>
      <c r="BF411" s="50"/>
      <c r="BH411" s="32" t="s">
        <v>320</v>
      </c>
      <c r="BI411" s="33">
        <v>83758</v>
      </c>
      <c r="BJ411" s="33">
        <v>0</v>
      </c>
      <c r="BK411" s="33">
        <v>905</v>
      </c>
      <c r="BL411" s="33">
        <v>6854</v>
      </c>
      <c r="BM411" s="33">
        <v>0</v>
      </c>
    </row>
    <row r="412" spans="1:65" ht="21">
      <c r="A412" s="15" t="s">
        <v>213</v>
      </c>
      <c r="B412" s="28"/>
      <c r="C412" s="29">
        <f t="shared" si="159"/>
        <v>57933</v>
      </c>
      <c r="D412" s="21">
        <f t="shared" si="160"/>
        <v>0</v>
      </c>
      <c r="E412" s="15">
        <f t="shared" si="171"/>
        <v>57933</v>
      </c>
      <c r="F412" s="15"/>
      <c r="G412" s="15">
        <f t="shared" si="161"/>
        <v>0</v>
      </c>
      <c r="H412" s="21">
        <f t="shared" si="162"/>
        <v>3653</v>
      </c>
      <c r="I412" s="15">
        <f t="shared" si="163"/>
        <v>1826.5</v>
      </c>
      <c r="J412" s="21">
        <f t="shared" si="164"/>
        <v>0</v>
      </c>
      <c r="K412" s="15">
        <f t="shared" si="165"/>
        <v>0</v>
      </c>
      <c r="L412" s="15">
        <f t="shared" si="166"/>
        <v>1826.5</v>
      </c>
      <c r="M412" s="15"/>
      <c r="N412" s="15">
        <f>E412-L412</f>
        <v>56106.5</v>
      </c>
      <c r="O412" s="15">
        <f>IF(N412&gt;=4000,(N412-4000)*0.9+2200,IF(N412&gt;=3000,(N412-3000)*0.8+1400,IF(N412&gt;=2000,(N412-2000)*0.6+800,IF(N412&gt;0,N412*0.4,0))))</f>
        <v>49095.85</v>
      </c>
      <c r="P412" s="15"/>
      <c r="Q412" s="30" t="s">
        <v>44</v>
      </c>
      <c r="R412" s="15"/>
      <c r="S412" s="76">
        <f>ROUND(SUM(O412*$Q$10),0)</f>
        <v>12558</v>
      </c>
      <c r="T412" s="15">
        <f>ROUND(SUM(S412*0.1),0)</f>
        <v>1256</v>
      </c>
      <c r="U412" s="15">
        <f>SUM(S412:T412)</f>
        <v>13814</v>
      </c>
      <c r="V412" s="15"/>
      <c r="W412" s="15" t="s">
        <v>213</v>
      </c>
      <c r="X412" s="15">
        <f t="shared" si="172"/>
        <v>12558</v>
      </c>
      <c r="Y412" s="15">
        <v>12658</v>
      </c>
      <c r="Z412" s="15">
        <v>12371</v>
      </c>
      <c r="AA412" s="15">
        <v>13209</v>
      </c>
      <c r="AB412" s="40">
        <v>13413</v>
      </c>
      <c r="AC412" s="15">
        <f t="shared" si="173"/>
        <v>-838</v>
      </c>
      <c r="AD412" s="1"/>
      <c r="AE412" s="3">
        <v>1</v>
      </c>
      <c r="AF412" s="1" t="s">
        <v>213</v>
      </c>
      <c r="AG412" s="1">
        <v>13209</v>
      </c>
      <c r="AH412" s="14"/>
      <c r="AJ412" s="81" t="s">
        <v>322</v>
      </c>
      <c r="AK412" s="81">
        <v>57933</v>
      </c>
      <c r="AL412" s="81">
        <v>0</v>
      </c>
      <c r="AM412" s="81">
        <v>0</v>
      </c>
      <c r="AN412" s="81">
        <v>3653</v>
      </c>
      <c r="AO412" s="81">
        <v>0</v>
      </c>
      <c r="AR412" s="32" t="s">
        <v>322</v>
      </c>
      <c r="AS412" s="57">
        <v>64070</v>
      </c>
      <c r="AT412" s="57">
        <v>0</v>
      </c>
      <c r="AU412" s="57">
        <v>0</v>
      </c>
      <c r="AV412" s="57">
        <v>7077</v>
      </c>
      <c r="AW412" s="57">
        <v>0</v>
      </c>
      <c r="AZ412" s="32" t="s">
        <v>322</v>
      </c>
      <c r="BA412" s="57">
        <v>64070</v>
      </c>
      <c r="BB412" s="57">
        <v>0</v>
      </c>
      <c r="BC412" s="57">
        <v>0</v>
      </c>
      <c r="BD412" s="57">
        <v>7077</v>
      </c>
      <c r="BE412" s="57">
        <v>0</v>
      </c>
      <c r="BF412" s="50"/>
      <c r="BH412" s="32" t="s">
        <v>322</v>
      </c>
      <c r="BI412" s="33">
        <v>60159</v>
      </c>
      <c r="BJ412" s="33">
        <v>0</v>
      </c>
      <c r="BK412" s="33">
        <v>0</v>
      </c>
      <c r="BL412" s="33">
        <v>6854</v>
      </c>
      <c r="BM412" s="33">
        <v>0</v>
      </c>
    </row>
    <row r="413" spans="1:65" ht="21">
      <c r="A413" s="15" t="s">
        <v>151</v>
      </c>
      <c r="B413" s="28"/>
      <c r="C413" s="29">
        <f t="shared" si="159"/>
        <v>31010</v>
      </c>
      <c r="D413" s="21">
        <f t="shared" si="160"/>
        <v>0</v>
      </c>
      <c r="E413" s="15">
        <f t="shared" si="171"/>
        <v>31010</v>
      </c>
      <c r="F413" s="15"/>
      <c r="G413" s="15">
        <f t="shared" si="161"/>
        <v>0</v>
      </c>
      <c r="H413" s="21">
        <f t="shared" si="162"/>
        <v>0</v>
      </c>
      <c r="I413" s="15">
        <f t="shared" si="163"/>
        <v>0</v>
      </c>
      <c r="J413" s="21">
        <f t="shared" si="164"/>
        <v>0</v>
      </c>
      <c r="K413" s="15">
        <f t="shared" si="165"/>
        <v>0</v>
      </c>
      <c r="L413" s="15">
        <f t="shared" si="166"/>
        <v>0</v>
      </c>
      <c r="M413" s="15"/>
      <c r="N413" s="15">
        <f>E413-L413</f>
        <v>31010</v>
      </c>
      <c r="O413" s="15">
        <f>IF(N413&gt;=4000,(N413-4000)*0.9+2200,IF(N413&gt;=3000,(N413-3000)*0.8+1400,IF(N413&gt;=2000,(N413-2000)*0.6+800,IF(N413&gt;0,N413*0.4,0))))</f>
        <v>26509</v>
      </c>
      <c r="P413" s="15"/>
      <c r="Q413" s="30" t="s">
        <v>44</v>
      </c>
      <c r="R413" s="15"/>
      <c r="S413" s="76">
        <f>ROUND(SUM(O413*$Q$10),0)</f>
        <v>6780</v>
      </c>
      <c r="T413" s="15">
        <f>ROUND(SUM(S413*0.1),0)</f>
        <v>678</v>
      </c>
      <c r="U413" s="15">
        <f>SUM(S413:T413)</f>
        <v>7458</v>
      </c>
      <c r="V413" s="15"/>
      <c r="W413" s="15" t="s">
        <v>151</v>
      </c>
      <c r="X413" s="15">
        <f t="shared" si="172"/>
        <v>6780</v>
      </c>
      <c r="Y413" s="15">
        <v>7199</v>
      </c>
      <c r="Z413" s="15">
        <v>7163</v>
      </c>
      <c r="AA413" s="15">
        <v>7488</v>
      </c>
      <c r="AB413" s="40">
        <v>6885</v>
      </c>
      <c r="AC413" s="15">
        <f t="shared" si="173"/>
        <v>-325</v>
      </c>
      <c r="AD413" s="1"/>
      <c r="AE413" s="3">
        <v>1</v>
      </c>
      <c r="AF413" s="1" t="s">
        <v>151</v>
      </c>
      <c r="AG413" s="1">
        <v>7488</v>
      </c>
      <c r="AH413" s="1"/>
      <c r="AJ413" s="81" t="s">
        <v>566</v>
      </c>
      <c r="AK413" s="81">
        <v>31010</v>
      </c>
      <c r="AL413" s="81">
        <v>0</v>
      </c>
      <c r="AM413" s="81">
        <v>0</v>
      </c>
      <c r="AN413" s="81">
        <v>0</v>
      </c>
      <c r="AO413" s="81">
        <v>0</v>
      </c>
      <c r="AR413" s="32" t="s">
        <v>332</v>
      </c>
      <c r="AS413" s="57">
        <v>35097.93</v>
      </c>
      <c r="AT413" s="57">
        <v>0</v>
      </c>
      <c r="AU413" s="57">
        <v>0</v>
      </c>
      <c r="AV413" s="57">
        <v>0</v>
      </c>
      <c r="AW413" s="57">
        <v>0</v>
      </c>
      <c r="AZ413" s="32" t="s">
        <v>489</v>
      </c>
      <c r="BA413" s="57">
        <v>35097.93</v>
      </c>
      <c r="BB413" s="57">
        <v>0</v>
      </c>
      <c r="BC413" s="57">
        <v>0</v>
      </c>
      <c r="BD413" s="57">
        <v>0</v>
      </c>
      <c r="BE413" s="57">
        <v>0</v>
      </c>
      <c r="BF413" s="50"/>
      <c r="BH413" s="32" t="s">
        <v>332</v>
      </c>
      <c r="BI413" s="33">
        <v>33504</v>
      </c>
      <c r="BJ413" s="33">
        <v>0</v>
      </c>
      <c r="BK413" s="33">
        <v>0</v>
      </c>
      <c r="BL413" s="33">
        <v>0</v>
      </c>
      <c r="BM413" s="33">
        <v>0</v>
      </c>
    </row>
    <row r="414" spans="1:58" ht="21">
      <c r="A414" s="19" t="s">
        <v>3</v>
      </c>
      <c r="B414" s="15"/>
      <c r="C414" s="19" t="s">
        <v>3</v>
      </c>
      <c r="D414" s="19" t="s">
        <v>3</v>
      </c>
      <c r="E414" s="19" t="s">
        <v>3</v>
      </c>
      <c r="F414" s="15"/>
      <c r="G414" s="19" t="s">
        <v>3</v>
      </c>
      <c r="H414" s="19" t="s">
        <v>3</v>
      </c>
      <c r="I414" s="19" t="s">
        <v>3</v>
      </c>
      <c r="J414" s="19" t="s">
        <v>3</v>
      </c>
      <c r="K414" s="19" t="s">
        <v>3</v>
      </c>
      <c r="L414" s="19" t="s">
        <v>3</v>
      </c>
      <c r="M414" s="15"/>
      <c r="N414" s="19" t="s">
        <v>3</v>
      </c>
      <c r="O414" s="19" t="s">
        <v>3</v>
      </c>
      <c r="P414" s="15"/>
      <c r="Q414" s="15"/>
      <c r="R414" s="15"/>
      <c r="S414" s="78" t="s">
        <v>3</v>
      </c>
      <c r="T414" s="19" t="s">
        <v>3</v>
      </c>
      <c r="U414" s="19" t="s">
        <v>3</v>
      </c>
      <c r="V414" s="15"/>
      <c r="W414" s="15"/>
      <c r="X414" s="15"/>
      <c r="Y414" s="15"/>
      <c r="Z414" s="14"/>
      <c r="AA414" s="14"/>
      <c r="AB414" s="38"/>
      <c r="AC414" s="15">
        <f t="shared" si="173"/>
        <v>0</v>
      </c>
      <c r="AD414" s="1"/>
      <c r="AE414" s="1"/>
      <c r="AF414" s="1"/>
      <c r="AG414" s="1"/>
      <c r="AH414" s="14"/>
      <c r="AS414" s="43"/>
      <c r="AT414" s="43"/>
      <c r="AU414" s="43"/>
      <c r="AV414" s="43"/>
      <c r="AW414" s="43"/>
      <c r="BA414" s="43"/>
      <c r="BB414" s="43"/>
      <c r="BC414" s="43"/>
      <c r="BD414" s="43"/>
      <c r="BE414" s="43"/>
      <c r="BF414" s="43"/>
    </row>
    <row r="415" spans="1:58" ht="21">
      <c r="A415" s="15" t="s">
        <v>48</v>
      </c>
      <c r="B415" s="15"/>
      <c r="C415" s="15">
        <f>SUM(C396:C414)</f>
        <v>1172126.1</v>
      </c>
      <c r="D415" s="15">
        <f>SUM(D396:D414)</f>
        <v>0</v>
      </c>
      <c r="E415" s="15">
        <f>SUM(E396:E414)</f>
        <v>1172126.1</v>
      </c>
      <c r="F415" s="15"/>
      <c r="G415" s="15">
        <f aca="true" t="shared" si="176" ref="G415:L415">SUM(G396:G414)</f>
        <v>21558.46</v>
      </c>
      <c r="H415" s="15">
        <f t="shared" si="176"/>
        <v>56906.57000000001</v>
      </c>
      <c r="I415" s="15">
        <f t="shared" si="176"/>
        <v>28453.285000000003</v>
      </c>
      <c r="J415" s="15">
        <f t="shared" si="176"/>
        <v>0</v>
      </c>
      <c r="K415" s="15">
        <f t="shared" si="176"/>
        <v>0</v>
      </c>
      <c r="L415" s="15">
        <f t="shared" si="176"/>
        <v>50011.745</v>
      </c>
      <c r="M415" s="15"/>
      <c r="N415" s="15">
        <f>SUM(N396:N414)</f>
        <v>1122114.355</v>
      </c>
      <c r="O415" s="15">
        <f>SUM(O396:O414)</f>
        <v>986102.9195000001</v>
      </c>
      <c r="P415" s="15"/>
      <c r="Q415" s="18" t="s">
        <v>49</v>
      </c>
      <c r="R415" s="15"/>
      <c r="S415" s="76">
        <f>SUM(S396:S414)</f>
        <v>252223</v>
      </c>
      <c r="T415" s="15">
        <f>SUM(T396:T414)</f>
        <v>25224</v>
      </c>
      <c r="U415" s="15">
        <f>SUM(U396:U414)</f>
        <v>277447</v>
      </c>
      <c r="V415" s="15"/>
      <c r="W415" s="15"/>
      <c r="X415" s="15">
        <f aca="true" t="shared" si="177" ref="X415:AC415">SUM(X397:X414)</f>
        <v>252223</v>
      </c>
      <c r="Y415" s="15">
        <f t="shared" si="177"/>
        <v>259834</v>
      </c>
      <c r="Z415" s="15">
        <f t="shared" si="177"/>
        <v>252229</v>
      </c>
      <c r="AA415" s="15">
        <f t="shared" si="177"/>
        <v>245360</v>
      </c>
      <c r="AB415" s="15">
        <f t="shared" si="177"/>
        <v>238573</v>
      </c>
      <c r="AC415" s="15">
        <f t="shared" si="177"/>
        <v>6869</v>
      </c>
      <c r="AD415" s="1"/>
      <c r="AE415" s="1"/>
      <c r="AF415" s="1"/>
      <c r="AG415" s="1"/>
      <c r="AH415" s="14"/>
      <c r="AS415" s="57"/>
      <c r="AT415" s="57"/>
      <c r="AU415" s="57"/>
      <c r="AV415" s="57"/>
      <c r="AW415" s="57"/>
      <c r="AZ415" s="32"/>
      <c r="BA415" s="57"/>
      <c r="BB415" s="57"/>
      <c r="BC415" s="57"/>
      <c r="BD415" s="57"/>
      <c r="BE415" s="57"/>
      <c r="BF415" s="50"/>
    </row>
    <row r="416" spans="1:58" ht="21">
      <c r="A416" s="19" t="s">
        <v>3</v>
      </c>
      <c r="B416" s="15"/>
      <c r="C416" s="19" t="s">
        <v>3</v>
      </c>
      <c r="D416" s="19" t="s">
        <v>3</v>
      </c>
      <c r="E416" s="19" t="s">
        <v>3</v>
      </c>
      <c r="F416" s="15"/>
      <c r="G416" s="19" t="s">
        <v>3</v>
      </c>
      <c r="H416" s="19" t="s">
        <v>3</v>
      </c>
      <c r="I416" s="19" t="s">
        <v>3</v>
      </c>
      <c r="J416" s="19" t="s">
        <v>3</v>
      </c>
      <c r="K416" s="19" t="s">
        <v>3</v>
      </c>
      <c r="L416" s="19" t="s">
        <v>3</v>
      </c>
      <c r="M416" s="15"/>
      <c r="N416" s="19" t="s">
        <v>3</v>
      </c>
      <c r="O416" s="19" t="s">
        <v>3</v>
      </c>
      <c r="P416" s="15"/>
      <c r="Q416" s="15"/>
      <c r="R416" s="15"/>
      <c r="S416" s="78" t="s">
        <v>3</v>
      </c>
      <c r="T416" s="19" t="s">
        <v>3</v>
      </c>
      <c r="U416" s="19" t="s">
        <v>3</v>
      </c>
      <c r="V416" s="15"/>
      <c r="W416" s="35"/>
      <c r="X416" s="35"/>
      <c r="Y416" s="35"/>
      <c r="AB416" s="38"/>
      <c r="AC416" s="15">
        <f t="shared" si="173"/>
        <v>0</v>
      </c>
      <c r="AD416" s="1"/>
      <c r="AE416" s="1"/>
      <c r="AF416" s="1"/>
      <c r="AG416" s="1"/>
      <c r="AH416" s="14"/>
      <c r="AS416" s="57"/>
      <c r="AT416" s="57"/>
      <c r="AU416" s="57"/>
      <c r="AV416" s="57"/>
      <c r="AW416" s="57"/>
      <c r="AZ416" s="32"/>
      <c r="BA416" s="57"/>
      <c r="BB416" s="57"/>
      <c r="BC416" s="57"/>
      <c r="BD416" s="57"/>
      <c r="BE416" s="57"/>
      <c r="BF416" s="50"/>
    </row>
    <row r="417" spans="1:58" ht="2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79"/>
      <c r="T417" s="35"/>
      <c r="U417" s="35"/>
      <c r="V417" s="35"/>
      <c r="W417" s="15"/>
      <c r="X417" s="15"/>
      <c r="Y417" s="15"/>
      <c r="Z417" s="1"/>
      <c r="AA417" s="1"/>
      <c r="AB417" s="38"/>
      <c r="AC417" s="15">
        <f t="shared" si="173"/>
        <v>0</v>
      </c>
      <c r="AS417" s="57"/>
      <c r="AT417" s="57"/>
      <c r="AU417" s="57"/>
      <c r="AV417" s="57"/>
      <c r="AW417" s="57"/>
      <c r="AZ417" s="32"/>
      <c r="BA417" s="57"/>
      <c r="BB417" s="57"/>
      <c r="BC417" s="57"/>
      <c r="BD417" s="57"/>
      <c r="BE417" s="57"/>
      <c r="BF417" s="50"/>
    </row>
    <row r="418" spans="1:34" ht="21">
      <c r="A418" s="15" t="s">
        <v>61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76"/>
      <c r="T418" s="15"/>
      <c r="U418" s="15"/>
      <c r="V418" s="15"/>
      <c r="W418" s="15"/>
      <c r="X418" s="15"/>
      <c r="Y418" s="15"/>
      <c r="Z418" s="1"/>
      <c r="AA418" s="1"/>
      <c r="AB418" s="38"/>
      <c r="AC418" s="1"/>
      <c r="AD418" s="1"/>
      <c r="AE418" s="1"/>
      <c r="AF418" s="1"/>
      <c r="AG418" s="1"/>
      <c r="AH418" s="1"/>
    </row>
    <row r="419" spans="1:34" ht="21">
      <c r="A419" s="15" t="s">
        <v>187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76"/>
      <c r="T419" s="15"/>
      <c r="U419" s="15"/>
      <c r="V419" s="15"/>
      <c r="W419" s="15"/>
      <c r="X419" s="15"/>
      <c r="Y419" s="15"/>
      <c r="Z419" s="1"/>
      <c r="AA419" s="1"/>
      <c r="AB419" s="38"/>
      <c r="AC419" s="1"/>
      <c r="AD419" s="1"/>
      <c r="AE419" s="1"/>
      <c r="AF419" s="1"/>
      <c r="AG419" s="1"/>
      <c r="AH419" s="1"/>
    </row>
    <row r="420" spans="1:34" ht="21">
      <c r="A420" s="15" t="s">
        <v>63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76"/>
      <c r="T420" s="15"/>
      <c r="U420" s="15"/>
      <c r="V420" s="15"/>
      <c r="W420" s="15"/>
      <c r="X420" s="15"/>
      <c r="Y420" s="15"/>
      <c r="Z420" s="1"/>
      <c r="AA420" s="1"/>
      <c r="AB420" s="38"/>
      <c r="AC420" s="1"/>
      <c r="AD420" s="1"/>
      <c r="AE420" s="1"/>
      <c r="AF420" s="1"/>
      <c r="AG420" s="1"/>
      <c r="AH420" s="1"/>
    </row>
    <row r="421" spans="1:34" ht="21">
      <c r="A421" s="15" t="s">
        <v>62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76"/>
      <c r="T421" s="15"/>
      <c r="U421" s="15"/>
      <c r="V421" s="15"/>
      <c r="W421" s="15"/>
      <c r="X421" s="15"/>
      <c r="Y421" s="15"/>
      <c r="Z421" s="1"/>
      <c r="AA421" s="1"/>
      <c r="AB421" s="38"/>
      <c r="AC421" s="1"/>
      <c r="AD421" s="1"/>
      <c r="AE421" s="1"/>
      <c r="AF421" s="1"/>
      <c r="AG421" s="1"/>
      <c r="AH421" s="1"/>
    </row>
    <row r="422" spans="1:34" ht="21">
      <c r="A422" s="35" t="s">
        <v>188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76"/>
      <c r="T422" s="15"/>
      <c r="U422" s="15"/>
      <c r="V422" s="15"/>
      <c r="W422" s="35"/>
      <c r="X422" s="35"/>
      <c r="Y422" s="35"/>
      <c r="AB422" s="38"/>
      <c r="AC422" s="1"/>
      <c r="AD422" s="1"/>
      <c r="AE422" s="1"/>
      <c r="AF422" s="1"/>
      <c r="AG422" s="1"/>
      <c r="AH422" s="1"/>
    </row>
    <row r="423" spans="1:28" ht="2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79"/>
      <c r="T423" s="35"/>
      <c r="U423" s="35"/>
      <c r="V423" s="35"/>
      <c r="W423" s="15"/>
      <c r="X423" s="15"/>
      <c r="Y423" s="15"/>
      <c r="Z423" s="1"/>
      <c r="AA423" s="1"/>
      <c r="AB423" s="38"/>
    </row>
    <row r="424" spans="1:34" ht="21">
      <c r="A424" s="15" t="s">
        <v>64</v>
      </c>
      <c r="B424" s="15"/>
      <c r="C424" s="15"/>
      <c r="D424" s="15" t="s">
        <v>65</v>
      </c>
      <c r="E424" s="15"/>
      <c r="F424" s="15"/>
      <c r="G424" s="15"/>
      <c r="H424" s="15"/>
      <c r="I424" s="15"/>
      <c r="J424" s="15"/>
      <c r="K424" s="15"/>
      <c r="L424" s="15" t="s">
        <v>66</v>
      </c>
      <c r="M424" s="15"/>
      <c r="N424" s="15"/>
      <c r="O424" s="15"/>
      <c r="P424" s="15"/>
      <c r="Q424" s="15"/>
      <c r="R424" s="15"/>
      <c r="S424" s="76"/>
      <c r="T424" s="15"/>
      <c r="U424" s="15"/>
      <c r="V424" s="15"/>
      <c r="W424" s="15"/>
      <c r="X424" s="15"/>
      <c r="Y424" s="15"/>
      <c r="Z424" s="1"/>
      <c r="AA424" s="1"/>
      <c r="AB424" s="38"/>
      <c r="AC424" s="1"/>
      <c r="AD424" s="1"/>
      <c r="AE424" s="1"/>
      <c r="AF424" s="1"/>
      <c r="AG424" s="1"/>
      <c r="AH424" s="1"/>
    </row>
    <row r="425" spans="1:34" ht="21">
      <c r="A425" s="19" t="s">
        <v>3</v>
      </c>
      <c r="B425" s="15"/>
      <c r="C425" s="15"/>
      <c r="D425" s="19" t="s">
        <v>3</v>
      </c>
      <c r="E425" s="19" t="s">
        <v>3</v>
      </c>
      <c r="F425" s="15"/>
      <c r="G425" s="15"/>
      <c r="H425" s="15"/>
      <c r="I425" s="15"/>
      <c r="J425" s="15"/>
      <c r="K425" s="15"/>
      <c r="L425" s="15" t="s">
        <v>67</v>
      </c>
      <c r="M425" s="15"/>
      <c r="N425" s="15"/>
      <c r="O425" s="15"/>
      <c r="P425" s="15"/>
      <c r="Q425" s="15"/>
      <c r="R425" s="15"/>
      <c r="S425" s="76"/>
      <c r="T425" s="15"/>
      <c r="U425" s="15"/>
      <c r="V425" s="15"/>
      <c r="W425" s="15"/>
      <c r="X425" s="15"/>
      <c r="Y425" s="15"/>
      <c r="Z425" s="1"/>
      <c r="AA425" s="1"/>
      <c r="AB425" s="38"/>
      <c r="AC425" s="1"/>
      <c r="AD425" s="1"/>
      <c r="AE425" s="1"/>
      <c r="AF425" s="1"/>
      <c r="AG425" s="1"/>
      <c r="AH425" s="1"/>
    </row>
    <row r="426" spans="1:34" ht="21">
      <c r="A426" s="15" t="s">
        <v>68</v>
      </c>
      <c r="B426" s="15"/>
      <c r="C426" s="15"/>
      <c r="D426" s="15" t="s">
        <v>69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76"/>
      <c r="T426" s="15"/>
      <c r="U426" s="15"/>
      <c r="V426" s="15"/>
      <c r="W426" s="15"/>
      <c r="X426" s="15"/>
      <c r="Y426" s="15"/>
      <c r="Z426" s="1"/>
      <c r="AA426" s="1"/>
      <c r="AB426" s="38"/>
      <c r="AC426" s="1"/>
      <c r="AD426" s="1"/>
      <c r="AE426" s="1"/>
      <c r="AF426" s="1"/>
      <c r="AG426" s="1"/>
      <c r="AH426" s="1"/>
    </row>
    <row r="427" spans="1:34" ht="21">
      <c r="A427" s="15" t="s">
        <v>70</v>
      </c>
      <c r="B427" s="15"/>
      <c r="C427" s="15"/>
      <c r="D427" s="15" t="s">
        <v>71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76"/>
      <c r="T427" s="15"/>
      <c r="U427" s="15"/>
      <c r="V427" s="15"/>
      <c r="W427" s="15"/>
      <c r="X427" s="15"/>
      <c r="Y427" s="15"/>
      <c r="Z427" s="1"/>
      <c r="AA427" s="1"/>
      <c r="AB427" s="38"/>
      <c r="AC427" s="1"/>
      <c r="AD427" s="1"/>
      <c r="AE427" s="1"/>
      <c r="AF427" s="1"/>
      <c r="AG427" s="1"/>
      <c r="AH427" s="1"/>
    </row>
    <row r="428" spans="1:34" ht="21">
      <c r="A428" s="15" t="s">
        <v>72</v>
      </c>
      <c r="B428" s="15"/>
      <c r="C428" s="15"/>
      <c r="D428" s="15" t="s">
        <v>73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76"/>
      <c r="T428" s="15"/>
      <c r="U428" s="15"/>
      <c r="V428" s="15"/>
      <c r="W428" s="15"/>
      <c r="X428" s="15"/>
      <c r="Y428" s="15"/>
      <c r="Z428" s="1"/>
      <c r="AA428" s="1"/>
      <c r="AB428" s="38"/>
      <c r="AC428" s="1"/>
      <c r="AD428" s="1"/>
      <c r="AE428" s="1"/>
      <c r="AF428" s="1"/>
      <c r="AG428" s="1"/>
      <c r="AH428" s="1"/>
    </row>
    <row r="429" spans="1:34" ht="21">
      <c r="A429" s="15" t="s">
        <v>74</v>
      </c>
      <c r="B429" s="15"/>
      <c r="C429" s="15"/>
      <c r="D429" s="15" t="s">
        <v>75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76"/>
      <c r="T429" s="15"/>
      <c r="U429" s="15"/>
      <c r="V429" s="15"/>
      <c r="W429" s="15"/>
      <c r="X429" s="15"/>
      <c r="Y429" s="15"/>
      <c r="Z429" s="1"/>
      <c r="AA429" s="1"/>
      <c r="AB429" s="38"/>
      <c r="AC429" s="1"/>
      <c r="AD429" s="1"/>
      <c r="AE429" s="1"/>
      <c r="AF429" s="1"/>
      <c r="AG429" s="1"/>
      <c r="AH429" s="1"/>
    </row>
    <row r="430" spans="1:34" ht="2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76"/>
      <c r="T430" s="15"/>
      <c r="U430" s="15"/>
      <c r="V430" s="15"/>
      <c r="W430" s="15"/>
      <c r="X430" s="15"/>
      <c r="Y430" s="15"/>
      <c r="Z430" s="1"/>
      <c r="AA430" s="1"/>
      <c r="AB430" s="38"/>
      <c r="AC430" s="1"/>
      <c r="AD430" s="1"/>
      <c r="AE430" s="1"/>
      <c r="AF430" s="1"/>
      <c r="AG430" s="1"/>
      <c r="AH430" s="14"/>
    </row>
    <row r="431" spans="1:34" ht="21">
      <c r="A431" s="15" t="s">
        <v>0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76"/>
      <c r="T431" s="15"/>
      <c r="U431" s="15"/>
      <c r="V431" s="15"/>
      <c r="W431" s="15"/>
      <c r="X431" s="15"/>
      <c r="Y431" s="15"/>
      <c r="Z431" s="1"/>
      <c r="AA431" s="1"/>
      <c r="AB431" s="38"/>
      <c r="AC431" s="1"/>
      <c r="AD431" s="1"/>
      <c r="AE431" s="1"/>
      <c r="AF431" s="1"/>
      <c r="AG431" s="1"/>
      <c r="AH431" s="14"/>
    </row>
    <row r="432" spans="1:34" ht="21">
      <c r="A432" s="15" t="str">
        <f>$A$3</f>
        <v>MISSION &amp; SERVICE BUDGET APPORTIONMENT 2022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76"/>
      <c r="T432" s="15"/>
      <c r="U432" s="15"/>
      <c r="V432" s="15"/>
      <c r="W432" s="15"/>
      <c r="X432" s="15"/>
      <c r="Y432" s="15"/>
      <c r="Z432" s="1"/>
      <c r="AA432" s="1"/>
      <c r="AB432" s="38"/>
      <c r="AC432" s="1"/>
      <c r="AD432" s="1"/>
      <c r="AE432" s="1"/>
      <c r="AF432" s="1"/>
      <c r="AG432" s="1"/>
      <c r="AH432" s="14"/>
    </row>
    <row r="433" spans="1:34" ht="2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76"/>
      <c r="T433" s="15"/>
      <c r="U433" s="15"/>
      <c r="V433" s="15"/>
      <c r="W433" s="15"/>
      <c r="X433" s="15"/>
      <c r="Y433" s="15"/>
      <c r="Z433" s="1"/>
      <c r="AA433" s="1"/>
      <c r="AB433" s="38"/>
      <c r="AC433" s="1"/>
      <c r="AD433" s="1"/>
      <c r="AE433" s="1"/>
      <c r="AF433" s="1"/>
      <c r="AG433" s="1"/>
      <c r="AH433" s="14"/>
    </row>
    <row r="434" spans="1:34" ht="2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76"/>
      <c r="T434" s="15"/>
      <c r="U434" s="15"/>
      <c r="V434" s="15"/>
      <c r="W434" s="15"/>
      <c r="X434" s="15"/>
      <c r="Y434" s="15"/>
      <c r="Z434" s="1"/>
      <c r="AA434" s="1"/>
      <c r="AB434" s="38"/>
      <c r="AC434" s="1"/>
      <c r="AD434" s="1"/>
      <c r="AE434" s="1"/>
      <c r="AF434" s="1"/>
      <c r="AG434" s="1"/>
      <c r="AH434" s="14"/>
    </row>
    <row r="435" spans="1:34" ht="21">
      <c r="A435" s="15" t="s">
        <v>152</v>
      </c>
      <c r="B435" s="15" t="s">
        <v>2</v>
      </c>
      <c r="C435" s="15" t="str">
        <f>C32</f>
        <v>2020 expenses</v>
      </c>
      <c r="D435" s="15"/>
      <c r="E435" s="15"/>
      <c r="F435" s="15" t="s">
        <v>2</v>
      </c>
      <c r="G435" s="19" t="s">
        <v>3</v>
      </c>
      <c r="H435" s="19" t="s">
        <v>3</v>
      </c>
      <c r="I435" s="19" t="s">
        <v>3</v>
      </c>
      <c r="J435" s="18" t="s">
        <v>4</v>
      </c>
      <c r="K435" s="19" t="s">
        <v>3</v>
      </c>
      <c r="L435" s="19" t="s">
        <v>3</v>
      </c>
      <c r="M435" s="15" t="s">
        <v>2</v>
      </c>
      <c r="N435" s="15" t="s">
        <v>5</v>
      </c>
      <c r="O435" s="15"/>
      <c r="P435" s="15" t="s">
        <v>2</v>
      </c>
      <c r="Q435" s="18" t="s">
        <v>6</v>
      </c>
      <c r="R435" s="15" t="s">
        <v>2</v>
      </c>
      <c r="S435" s="76" t="str">
        <f>S32</f>
        <v>------------------------</v>
      </c>
      <c r="T435" s="18" t="str">
        <f>+T390</f>
        <v>APPORTIONMENT</v>
      </c>
      <c r="U435" s="15" t="str">
        <f>+U390</f>
        <v>---------------------</v>
      </c>
      <c r="V435" s="15" t="s">
        <v>2</v>
      </c>
      <c r="W435" s="15"/>
      <c r="X435" s="15"/>
      <c r="Y435" s="15"/>
      <c r="Z435" s="1"/>
      <c r="AA435" s="1"/>
      <c r="AB435" s="38"/>
      <c r="AC435" s="1"/>
      <c r="AD435" s="1"/>
      <c r="AE435" s="1"/>
      <c r="AF435" s="1"/>
      <c r="AG435" s="1"/>
      <c r="AH435" s="14"/>
    </row>
    <row r="436" spans="1:34" ht="21">
      <c r="A436" s="15"/>
      <c r="B436" s="15" t="s">
        <v>2</v>
      </c>
      <c r="C436" s="15"/>
      <c r="D436" s="15"/>
      <c r="E436" s="15"/>
      <c r="F436" s="15" t="s">
        <v>2</v>
      </c>
      <c r="G436" s="15"/>
      <c r="H436" s="15"/>
      <c r="I436" s="15"/>
      <c r="J436" s="15"/>
      <c r="K436" s="15"/>
      <c r="L436" s="15"/>
      <c r="M436" s="15" t="s">
        <v>2</v>
      </c>
      <c r="N436" s="15"/>
      <c r="O436" s="20" t="s">
        <v>8</v>
      </c>
      <c r="P436" s="15" t="s">
        <v>2</v>
      </c>
      <c r="Q436" s="15"/>
      <c r="R436" s="15" t="s">
        <v>2</v>
      </c>
      <c r="S436" s="76"/>
      <c r="T436" s="15"/>
      <c r="U436" s="15"/>
      <c r="V436" s="15" t="s">
        <v>2</v>
      </c>
      <c r="W436" s="15"/>
      <c r="X436" s="15"/>
      <c r="Y436" s="15"/>
      <c r="Z436" s="1"/>
      <c r="AA436" s="1"/>
      <c r="AB436" s="38"/>
      <c r="AC436" s="1"/>
      <c r="AD436" s="1"/>
      <c r="AE436" s="1"/>
      <c r="AF436" s="1"/>
      <c r="AG436" s="1"/>
      <c r="AH436" s="14"/>
    </row>
    <row r="437" spans="1:34" ht="21">
      <c r="A437" s="15"/>
      <c r="B437" s="15" t="s">
        <v>2</v>
      </c>
      <c r="C437" s="15"/>
      <c r="D437" s="15"/>
      <c r="E437" s="18" t="s">
        <v>9</v>
      </c>
      <c r="F437" s="15" t="s">
        <v>2</v>
      </c>
      <c r="G437" s="15"/>
      <c r="H437" s="15"/>
      <c r="I437" s="15"/>
      <c r="J437" s="20" t="s">
        <v>10</v>
      </c>
      <c r="K437" s="20" t="s">
        <v>11</v>
      </c>
      <c r="L437" s="15"/>
      <c r="M437" s="15" t="s">
        <v>2</v>
      </c>
      <c r="N437" s="15"/>
      <c r="O437" s="20" t="s">
        <v>12</v>
      </c>
      <c r="P437" s="15" t="s">
        <v>2</v>
      </c>
      <c r="Q437" s="18" t="s">
        <v>13</v>
      </c>
      <c r="R437" s="15" t="s">
        <v>2</v>
      </c>
      <c r="S437" s="76"/>
      <c r="U437" s="15"/>
      <c r="V437" s="15" t="s">
        <v>2</v>
      </c>
      <c r="W437" s="15"/>
      <c r="X437" s="15"/>
      <c r="Y437" s="15"/>
      <c r="Z437" s="1"/>
      <c r="AA437" s="1"/>
      <c r="AB437" s="38"/>
      <c r="AC437" s="1"/>
      <c r="AD437" s="1"/>
      <c r="AE437" s="1"/>
      <c r="AF437" s="1"/>
      <c r="AG437" s="1"/>
      <c r="AH437" s="14"/>
    </row>
    <row r="438" spans="1:34" ht="21">
      <c r="A438" s="15"/>
      <c r="B438" s="15" t="s">
        <v>2</v>
      </c>
      <c r="C438" s="15"/>
      <c r="D438" s="18" t="s">
        <v>14</v>
      </c>
      <c r="E438" s="18" t="s">
        <v>15</v>
      </c>
      <c r="F438" s="15" t="s">
        <v>2</v>
      </c>
      <c r="G438" s="20" t="s">
        <v>215</v>
      </c>
      <c r="H438" s="20" t="s">
        <v>16</v>
      </c>
      <c r="I438" s="20" t="s">
        <v>17</v>
      </c>
      <c r="J438" s="20" t="s">
        <v>18</v>
      </c>
      <c r="K438" s="20" t="s">
        <v>19</v>
      </c>
      <c r="L438" s="20" t="s">
        <v>9</v>
      </c>
      <c r="M438" s="15" t="s">
        <v>2</v>
      </c>
      <c r="N438" s="20" t="s">
        <v>20</v>
      </c>
      <c r="O438" s="20" t="s">
        <v>21</v>
      </c>
      <c r="P438" s="15" t="s">
        <v>2</v>
      </c>
      <c r="Q438" s="20" t="s">
        <v>22</v>
      </c>
      <c r="R438" s="15" t="s">
        <v>2</v>
      </c>
      <c r="S438" s="76"/>
      <c r="T438" s="9" t="s">
        <v>23</v>
      </c>
      <c r="U438" s="15"/>
      <c r="V438" s="15" t="s">
        <v>2</v>
      </c>
      <c r="W438" s="15"/>
      <c r="X438" s="15"/>
      <c r="Y438" s="15"/>
      <c r="Z438" s="1"/>
      <c r="AA438" s="1"/>
      <c r="AB438" s="38"/>
      <c r="AC438" s="1"/>
      <c r="AD438" s="1"/>
      <c r="AE438" s="1"/>
      <c r="AF438" s="1"/>
      <c r="AG438" s="1"/>
      <c r="AH438" s="14"/>
    </row>
    <row r="439" spans="1:65" ht="22.5">
      <c r="A439" s="15"/>
      <c r="B439" s="15" t="s">
        <v>2</v>
      </c>
      <c r="C439" s="18" t="s">
        <v>15</v>
      </c>
      <c r="D439" s="18" t="s">
        <v>25</v>
      </c>
      <c r="E439" s="18" t="s">
        <v>14</v>
      </c>
      <c r="F439" s="15" t="s">
        <v>2</v>
      </c>
      <c r="G439" s="20" t="s">
        <v>216</v>
      </c>
      <c r="H439" s="20" t="s">
        <v>26</v>
      </c>
      <c r="I439" s="20" t="s">
        <v>16</v>
      </c>
      <c r="J439" s="20" t="s">
        <v>27</v>
      </c>
      <c r="K439" s="20" t="s">
        <v>28</v>
      </c>
      <c r="L439" s="20" t="s">
        <v>29</v>
      </c>
      <c r="M439" s="15" t="s">
        <v>2</v>
      </c>
      <c r="N439" s="20" t="s">
        <v>15</v>
      </c>
      <c r="O439" s="20" t="s">
        <v>30</v>
      </c>
      <c r="P439" s="15" t="s">
        <v>2</v>
      </c>
      <c r="Q439" s="20" t="s">
        <v>12</v>
      </c>
      <c r="R439" s="15" t="s">
        <v>2</v>
      </c>
      <c r="T439" s="18" t="str">
        <f>+T394</f>
        <v>Extra</v>
      </c>
      <c r="U439" s="20" t="s">
        <v>31</v>
      </c>
      <c r="V439" s="15" t="s">
        <v>2</v>
      </c>
      <c r="W439" s="15"/>
      <c r="X439" s="15"/>
      <c r="Y439" s="15"/>
      <c r="Z439" s="1"/>
      <c r="AA439" s="1"/>
      <c r="AB439" s="38"/>
      <c r="AC439" s="1"/>
      <c r="AD439" s="1"/>
      <c r="AE439" s="1"/>
      <c r="AF439" s="1"/>
      <c r="AG439" s="1"/>
      <c r="AH439" s="14"/>
      <c r="AK439" s="60" t="s">
        <v>513</v>
      </c>
      <c r="AR439" s="36"/>
      <c r="AS439" s="60" t="s">
        <v>505</v>
      </c>
      <c r="BH439" s="36"/>
      <c r="BI439" s="37"/>
      <c r="BJ439" s="37"/>
      <c r="BK439" s="37"/>
      <c r="BL439" s="37"/>
      <c r="BM439" s="37"/>
    </row>
    <row r="440" spans="1:34" ht="21">
      <c r="A440" s="15"/>
      <c r="B440" s="15" t="s">
        <v>2</v>
      </c>
      <c r="C440" s="18" t="s">
        <v>14</v>
      </c>
      <c r="D440" s="18" t="s">
        <v>33</v>
      </c>
      <c r="E440" s="18" t="s">
        <v>34</v>
      </c>
      <c r="F440" s="15" t="s">
        <v>2</v>
      </c>
      <c r="G440" s="20" t="s">
        <v>35</v>
      </c>
      <c r="H440" s="20" t="s">
        <v>36</v>
      </c>
      <c r="I440" s="20" t="s">
        <v>37</v>
      </c>
      <c r="J440" s="20" t="s">
        <v>38</v>
      </c>
      <c r="K440" s="20" t="s">
        <v>39</v>
      </c>
      <c r="L440" s="20" t="s">
        <v>40</v>
      </c>
      <c r="M440" s="15" t="s">
        <v>2</v>
      </c>
      <c r="N440" s="20" t="s">
        <v>14</v>
      </c>
      <c r="O440" s="20" t="s">
        <v>41</v>
      </c>
      <c r="P440" s="15" t="s">
        <v>2</v>
      </c>
      <c r="Q440" s="22">
        <f>Q10</f>
        <v>0.25577674211452567</v>
      </c>
      <c r="R440" s="15" t="s">
        <v>2</v>
      </c>
      <c r="S440" s="80" t="str">
        <f>+S395</f>
        <v>Apportionment</v>
      </c>
      <c r="T440" s="18" t="str">
        <f>+T395</f>
        <v>Mile</v>
      </c>
      <c r="U440" s="20" t="s">
        <v>42</v>
      </c>
      <c r="V440" s="15" t="s">
        <v>2</v>
      </c>
      <c r="W440" s="15"/>
      <c r="X440" s="15"/>
      <c r="Y440" s="15"/>
      <c r="Z440" s="1"/>
      <c r="AA440" s="1"/>
      <c r="AB440" s="38"/>
      <c r="AC440" s="1"/>
      <c r="AD440" s="1"/>
      <c r="AE440" s="1"/>
      <c r="AF440" s="1"/>
      <c r="AG440" s="1"/>
      <c r="AH440" s="14"/>
    </row>
    <row r="441" spans="1:65" ht="101.25" thickBot="1">
      <c r="A441" s="19" t="s">
        <v>3</v>
      </c>
      <c r="B441" s="15"/>
      <c r="C441" s="19" t="s">
        <v>3</v>
      </c>
      <c r="D441" s="19" t="s">
        <v>3</v>
      </c>
      <c r="E441" s="19" t="s">
        <v>3</v>
      </c>
      <c r="F441" s="15"/>
      <c r="G441" s="19" t="s">
        <v>3</v>
      </c>
      <c r="H441" s="19" t="s">
        <v>3</v>
      </c>
      <c r="I441" s="19" t="s">
        <v>3</v>
      </c>
      <c r="J441" s="19" t="s">
        <v>3</v>
      </c>
      <c r="K441" s="19" t="s">
        <v>3</v>
      </c>
      <c r="L441" s="19" t="s">
        <v>3</v>
      </c>
      <c r="M441" s="15"/>
      <c r="N441" s="19" t="s">
        <v>3</v>
      </c>
      <c r="O441" s="19" t="s">
        <v>3</v>
      </c>
      <c r="P441" s="15"/>
      <c r="Q441" s="19" t="s">
        <v>3</v>
      </c>
      <c r="R441" s="19" t="s">
        <v>3</v>
      </c>
      <c r="S441" s="78" t="s">
        <v>3</v>
      </c>
      <c r="T441" s="19" t="s">
        <v>3</v>
      </c>
      <c r="U441" s="19" t="s">
        <v>3</v>
      </c>
      <c r="V441" s="15"/>
      <c r="X441" s="69" t="s">
        <v>577</v>
      </c>
      <c r="Y441" s="69" t="s">
        <v>508</v>
      </c>
      <c r="Z441" s="24">
        <v>2020</v>
      </c>
      <c r="AA441" s="24">
        <v>2019</v>
      </c>
      <c r="AB441" s="24">
        <v>2018</v>
      </c>
      <c r="AC441" s="25" t="s">
        <v>394</v>
      </c>
      <c r="AD441" s="26"/>
      <c r="AE441" s="1"/>
      <c r="AF441" s="1"/>
      <c r="AG441" s="1"/>
      <c r="AH441" s="1"/>
      <c r="AK441" s="27" t="s">
        <v>379</v>
      </c>
      <c r="AL441" s="27" t="s">
        <v>380</v>
      </c>
      <c r="AM441" s="27" t="s">
        <v>381</v>
      </c>
      <c r="AN441" s="27" t="s">
        <v>382</v>
      </c>
      <c r="AO441" s="27" t="s">
        <v>383</v>
      </c>
      <c r="AS441" s="27" t="s">
        <v>379</v>
      </c>
      <c r="AT441" s="27" t="s">
        <v>380</v>
      </c>
      <c r="AU441" s="27" t="s">
        <v>381</v>
      </c>
      <c r="AV441" s="27" t="s">
        <v>382</v>
      </c>
      <c r="AW441" s="27" t="s">
        <v>383</v>
      </c>
      <c r="BI441" s="27" t="s">
        <v>379</v>
      </c>
      <c r="BJ441" s="27" t="s">
        <v>380</v>
      </c>
      <c r="BK441" s="27" t="s">
        <v>381</v>
      </c>
      <c r="BL441" s="27" t="s">
        <v>382</v>
      </c>
      <c r="BM441" s="27" t="s">
        <v>383</v>
      </c>
    </row>
    <row r="442" spans="1:65" ht="21">
      <c r="A442" s="15" t="s">
        <v>234</v>
      </c>
      <c r="B442" s="28"/>
      <c r="C442" s="29">
        <f aca="true" t="shared" si="178" ref="C442:C455">AK442</f>
        <v>63322.76</v>
      </c>
      <c r="D442" s="21">
        <f aca="true" t="shared" si="179" ref="D442:D455">AL442</f>
        <v>0</v>
      </c>
      <c r="E442" s="15">
        <f>D442+C442</f>
        <v>63322.76</v>
      </c>
      <c r="F442" s="15"/>
      <c r="G442" s="15">
        <f aca="true" t="shared" si="180" ref="G442:G455">AM442</f>
        <v>0</v>
      </c>
      <c r="H442" s="21">
        <f aca="true" t="shared" si="181" ref="H442:H455">AN442</f>
        <v>13000</v>
      </c>
      <c r="I442" s="15">
        <f aca="true" t="shared" si="182" ref="I442:I455">H442*0.5</f>
        <v>6500</v>
      </c>
      <c r="J442" s="21">
        <f aca="true" t="shared" si="183" ref="J442:J455">AO442</f>
        <v>0</v>
      </c>
      <c r="K442" s="15">
        <f aca="true" t="shared" si="184" ref="K442:K455">J442*0.25</f>
        <v>0</v>
      </c>
      <c r="L442" s="15">
        <f aca="true" t="shared" si="185" ref="L442:L455">+G442+I442+K442</f>
        <v>6500</v>
      </c>
      <c r="M442" s="15"/>
      <c r="N442" s="15">
        <f aca="true" t="shared" si="186" ref="N442:N452">E442-L442</f>
        <v>56822.76</v>
      </c>
      <c r="O442" s="15">
        <f aca="true" t="shared" si="187" ref="O442:O452">IF(N442&gt;=4000,(N442-4000)*0.9+2200,IF(N442&gt;=3000,(N442-3000)*0.8+1400,IF(N442&gt;=2000,(N442-2000)*0.6+800,IF(N442&gt;0,N442*0.4,0))))</f>
        <v>49740.484000000004</v>
      </c>
      <c r="P442" s="15"/>
      <c r="Q442" s="30" t="s">
        <v>44</v>
      </c>
      <c r="R442" s="15"/>
      <c r="S442" s="76">
        <f>ROUND(SUM(O442*$Q$10),0)</f>
        <v>12722</v>
      </c>
      <c r="T442" s="15">
        <f>ROUND(SUM(S442*0.1),0)</f>
        <v>1272</v>
      </c>
      <c r="U442" s="15">
        <f>SUM(S442:T442)</f>
        <v>13994</v>
      </c>
      <c r="V442" s="15"/>
      <c r="W442" s="15" t="s">
        <v>234</v>
      </c>
      <c r="X442" s="15">
        <f>S442</f>
        <v>12722</v>
      </c>
      <c r="Y442" s="15">
        <v>9790</v>
      </c>
      <c r="Z442" s="15">
        <v>10382</v>
      </c>
      <c r="AA442" s="15">
        <v>10563</v>
      </c>
      <c r="AB442" s="40">
        <v>15058</v>
      </c>
      <c r="AC442" s="15">
        <f>Z442-AA442</f>
        <v>-181</v>
      </c>
      <c r="AD442" s="1"/>
      <c r="AE442" s="3">
        <v>1</v>
      </c>
      <c r="AF442" s="1" t="s">
        <v>234</v>
      </c>
      <c r="AG442" s="1">
        <v>10563</v>
      </c>
      <c r="AH442" s="1"/>
      <c r="AJ442" s="81" t="s">
        <v>304</v>
      </c>
      <c r="AK442" s="81">
        <v>63322.76</v>
      </c>
      <c r="AN442" s="81">
        <v>13000</v>
      </c>
      <c r="AO442" s="81">
        <v>0</v>
      </c>
      <c r="AR442" s="32" t="s">
        <v>304</v>
      </c>
      <c r="AS442" s="57">
        <v>50421</v>
      </c>
      <c r="AT442" s="57">
        <v>0</v>
      </c>
      <c r="AU442" s="57">
        <v>0</v>
      </c>
      <c r="AV442" s="57">
        <v>6500</v>
      </c>
      <c r="AW442" s="57">
        <v>0</v>
      </c>
      <c r="AZ442" s="32" t="s">
        <v>304</v>
      </c>
      <c r="BA442" s="57">
        <v>50421</v>
      </c>
      <c r="BB442" s="57">
        <v>0</v>
      </c>
      <c r="BC442" s="57">
        <v>0</v>
      </c>
      <c r="BD442" s="57">
        <v>6500</v>
      </c>
      <c r="BE442" s="57">
        <v>0</v>
      </c>
      <c r="BF442" s="50"/>
      <c r="BH442" s="32" t="s">
        <v>304</v>
      </c>
      <c r="BI442" s="33">
        <v>50242.74</v>
      </c>
      <c r="BJ442" s="33">
        <v>0</v>
      </c>
      <c r="BK442" s="33">
        <v>0</v>
      </c>
      <c r="BL442" s="33">
        <v>4767.6</v>
      </c>
      <c r="BM442" s="33">
        <v>0</v>
      </c>
    </row>
    <row r="443" spans="1:65" ht="21.75">
      <c r="A443" s="15" t="s">
        <v>153</v>
      </c>
      <c r="B443" s="62" t="s">
        <v>105</v>
      </c>
      <c r="C443" s="29">
        <f t="shared" si="178"/>
        <v>163680</v>
      </c>
      <c r="D443" s="21">
        <f t="shared" si="179"/>
        <v>5564</v>
      </c>
      <c r="E443" s="15">
        <f aca="true" t="shared" si="188" ref="E443:E455">D443+C443</f>
        <v>169244</v>
      </c>
      <c r="F443" s="15"/>
      <c r="G443" s="15">
        <f t="shared" si="180"/>
        <v>0</v>
      </c>
      <c r="H443" s="21">
        <f t="shared" si="181"/>
        <v>18421</v>
      </c>
      <c r="I443" s="15">
        <f t="shared" si="182"/>
        <v>9210.5</v>
      </c>
      <c r="J443" s="21">
        <f t="shared" si="183"/>
        <v>0</v>
      </c>
      <c r="K443" s="15">
        <f t="shared" si="184"/>
        <v>0</v>
      </c>
      <c r="L443" s="15">
        <f t="shared" si="185"/>
        <v>9210.5</v>
      </c>
      <c r="M443" s="15"/>
      <c r="N443" s="15">
        <f t="shared" si="186"/>
        <v>160033.5</v>
      </c>
      <c r="O443" s="15">
        <f t="shared" si="187"/>
        <v>142630.15</v>
      </c>
      <c r="P443" s="15"/>
      <c r="Q443" s="30" t="s">
        <v>44</v>
      </c>
      <c r="R443" s="15"/>
      <c r="S443" s="76">
        <f aca="true" t="shared" si="189" ref="S443:S453">ROUND(SUM(O443*$Q$10),0)</f>
        <v>36481</v>
      </c>
      <c r="T443" s="15">
        <f aca="true" t="shared" si="190" ref="T443:T452">ROUND(SUM(S443*0.1),0)</f>
        <v>3648</v>
      </c>
      <c r="U443" s="15">
        <f aca="true" t="shared" si="191" ref="U443:U452">SUM(S443:T443)</f>
        <v>40129</v>
      </c>
      <c r="V443" s="15"/>
      <c r="W443" s="15" t="s">
        <v>153</v>
      </c>
      <c r="X443" s="15">
        <f aca="true" t="shared" si="192" ref="X443:X455">S443</f>
        <v>36481</v>
      </c>
      <c r="Y443" s="15">
        <v>34013</v>
      </c>
      <c r="Z443" s="15">
        <v>34454</v>
      </c>
      <c r="AA443" s="15">
        <v>32794</v>
      </c>
      <c r="AB443" s="40">
        <v>33023</v>
      </c>
      <c r="AC443" s="15">
        <f aca="true" t="shared" si="193" ref="AC443:AC457">Z443-AA443</f>
        <v>1660</v>
      </c>
      <c r="AD443" s="1"/>
      <c r="AE443" s="3">
        <v>1</v>
      </c>
      <c r="AF443" s="1" t="s">
        <v>153</v>
      </c>
      <c r="AG443" s="1">
        <v>32794</v>
      </c>
      <c r="AH443" s="1"/>
      <c r="AJ443" s="89"/>
      <c r="AK443" s="91">
        <f>AS443</f>
        <v>163680</v>
      </c>
      <c r="AL443" s="91">
        <f>AT443</f>
        <v>5564</v>
      </c>
      <c r="AM443" s="91">
        <f>AU443</f>
        <v>0</v>
      </c>
      <c r="AN443" s="91">
        <f>AV443</f>
        <v>18421</v>
      </c>
      <c r="AO443" s="91">
        <f>AW443</f>
        <v>0</v>
      </c>
      <c r="AR443" s="32" t="s">
        <v>315</v>
      </c>
      <c r="AS443" s="57">
        <v>163680</v>
      </c>
      <c r="AT443" s="57">
        <v>5564</v>
      </c>
      <c r="AU443" s="57">
        <v>0</v>
      </c>
      <c r="AV443" s="57">
        <v>18421</v>
      </c>
      <c r="AW443" s="57">
        <v>0</v>
      </c>
      <c r="AZ443" s="32" t="s">
        <v>498</v>
      </c>
      <c r="BA443" s="57">
        <v>163680</v>
      </c>
      <c r="BB443" s="57">
        <v>5564</v>
      </c>
      <c r="BC443" s="57">
        <v>0</v>
      </c>
      <c r="BD443" s="57">
        <v>18421</v>
      </c>
      <c r="BE443" s="57">
        <v>0</v>
      </c>
      <c r="BF443" s="50"/>
      <c r="BH443" s="32" t="s">
        <v>315</v>
      </c>
      <c r="BI443" s="33">
        <v>160384</v>
      </c>
      <c r="BJ443" s="33">
        <v>3869</v>
      </c>
      <c r="BK443" s="33">
        <v>0</v>
      </c>
      <c r="BL443" s="33">
        <v>18060</v>
      </c>
      <c r="BM443" s="33">
        <v>0</v>
      </c>
    </row>
    <row r="444" spans="1:65" ht="21">
      <c r="A444" s="15" t="s">
        <v>154</v>
      </c>
      <c r="B444" s="28"/>
      <c r="C444" s="29">
        <f t="shared" si="178"/>
        <v>153751</v>
      </c>
      <c r="D444" s="21">
        <f t="shared" si="179"/>
        <v>0</v>
      </c>
      <c r="E444" s="15">
        <f t="shared" si="188"/>
        <v>153751</v>
      </c>
      <c r="F444" s="15"/>
      <c r="G444" s="15">
        <f t="shared" si="180"/>
        <v>0</v>
      </c>
      <c r="H444" s="21">
        <f t="shared" si="181"/>
        <v>21000</v>
      </c>
      <c r="I444" s="15">
        <f t="shared" si="182"/>
        <v>10500</v>
      </c>
      <c r="J444" s="21">
        <f t="shared" si="183"/>
        <v>0</v>
      </c>
      <c r="K444" s="15">
        <f t="shared" si="184"/>
        <v>0</v>
      </c>
      <c r="L444" s="15">
        <f t="shared" si="185"/>
        <v>10500</v>
      </c>
      <c r="M444" s="15"/>
      <c r="N444" s="15">
        <f t="shared" si="186"/>
        <v>143251</v>
      </c>
      <c r="O444" s="15">
        <f t="shared" si="187"/>
        <v>127525.90000000001</v>
      </c>
      <c r="P444" s="15"/>
      <c r="Q444" s="30" t="s">
        <v>44</v>
      </c>
      <c r="R444" s="15"/>
      <c r="S444" s="76">
        <f t="shared" si="189"/>
        <v>32618</v>
      </c>
      <c r="T444" s="15">
        <f t="shared" si="190"/>
        <v>3262</v>
      </c>
      <c r="U444" s="15">
        <f t="shared" si="191"/>
        <v>35880</v>
      </c>
      <c r="V444" s="15"/>
      <c r="W444" s="15" t="s">
        <v>154</v>
      </c>
      <c r="X444" s="15">
        <f t="shared" si="192"/>
        <v>32618</v>
      </c>
      <c r="Y444" s="15">
        <v>30683</v>
      </c>
      <c r="Z444" s="15">
        <v>32979</v>
      </c>
      <c r="AA444" s="15">
        <v>31823</v>
      </c>
      <c r="AB444" s="40">
        <v>26948</v>
      </c>
      <c r="AC444" s="15">
        <f t="shared" si="193"/>
        <v>1156</v>
      </c>
      <c r="AD444" s="1"/>
      <c r="AE444" s="3">
        <v>1</v>
      </c>
      <c r="AF444" s="1" t="s">
        <v>154</v>
      </c>
      <c r="AG444" s="1">
        <v>31823</v>
      </c>
      <c r="AH444" s="1"/>
      <c r="AJ444" s="81" t="s">
        <v>497</v>
      </c>
      <c r="AK444" s="81">
        <v>153751</v>
      </c>
      <c r="AL444" s="81">
        <v>0</v>
      </c>
      <c r="AM444" s="81">
        <v>0</v>
      </c>
      <c r="AN444" s="81">
        <v>21000</v>
      </c>
      <c r="AO444" s="81">
        <v>0</v>
      </c>
      <c r="AR444" s="32" t="s">
        <v>313</v>
      </c>
      <c r="AS444" s="57">
        <v>151781.55</v>
      </c>
      <c r="AT444" s="57">
        <v>0</v>
      </c>
      <c r="AU444" s="57">
        <v>0</v>
      </c>
      <c r="AV444" s="57">
        <v>14527</v>
      </c>
      <c r="AW444" s="57">
        <v>0</v>
      </c>
      <c r="AZ444" s="32" t="s">
        <v>497</v>
      </c>
      <c r="BA444" s="57">
        <v>151781.55</v>
      </c>
      <c r="BB444" s="57">
        <v>0</v>
      </c>
      <c r="BC444" s="57">
        <v>0</v>
      </c>
      <c r="BD444" s="57">
        <v>14527</v>
      </c>
      <c r="BE444" s="57">
        <v>0</v>
      </c>
      <c r="BF444" s="50"/>
      <c r="BH444" s="32" t="s">
        <v>313</v>
      </c>
      <c r="BI444" s="33">
        <v>158243</v>
      </c>
      <c r="BJ444" s="33">
        <v>0</v>
      </c>
      <c r="BK444" s="33">
        <v>0</v>
      </c>
      <c r="BL444" s="33">
        <v>19199</v>
      </c>
      <c r="BM444" s="33">
        <v>0</v>
      </c>
    </row>
    <row r="445" spans="1:65" ht="21.75">
      <c r="A445" s="15" t="s">
        <v>155</v>
      </c>
      <c r="B445" s="34"/>
      <c r="C445" s="29">
        <f t="shared" si="178"/>
        <v>65000</v>
      </c>
      <c r="D445" s="21">
        <f t="shared" si="179"/>
        <v>0</v>
      </c>
      <c r="E445" s="15">
        <f t="shared" si="188"/>
        <v>65000</v>
      </c>
      <c r="F445" s="15"/>
      <c r="G445" s="15">
        <f t="shared" si="180"/>
        <v>0</v>
      </c>
      <c r="H445" s="21">
        <f t="shared" si="181"/>
        <v>13000</v>
      </c>
      <c r="I445" s="15">
        <f t="shared" si="182"/>
        <v>6500</v>
      </c>
      <c r="J445" s="21">
        <f t="shared" si="183"/>
        <v>0</v>
      </c>
      <c r="K445" s="15">
        <f t="shared" si="184"/>
        <v>0</v>
      </c>
      <c r="L445" s="15">
        <f t="shared" si="185"/>
        <v>6500</v>
      </c>
      <c r="M445" s="15"/>
      <c r="N445" s="15">
        <f t="shared" si="186"/>
        <v>58500</v>
      </c>
      <c r="O445" s="15">
        <f t="shared" si="187"/>
        <v>51250</v>
      </c>
      <c r="P445" s="15"/>
      <c r="Q445" s="30" t="s">
        <v>44</v>
      </c>
      <c r="R445" s="15"/>
      <c r="S445" s="76">
        <f t="shared" si="189"/>
        <v>13109</v>
      </c>
      <c r="T445" s="15">
        <f t="shared" si="190"/>
        <v>1311</v>
      </c>
      <c r="U445" s="15">
        <f t="shared" si="191"/>
        <v>14420</v>
      </c>
      <c r="V445" s="15"/>
      <c r="W445" s="15" t="s">
        <v>155</v>
      </c>
      <c r="X445" s="15">
        <f t="shared" si="192"/>
        <v>13109</v>
      </c>
      <c r="Y445" s="15">
        <v>10736</v>
      </c>
      <c r="Z445" s="15">
        <v>12492</v>
      </c>
      <c r="AA445" s="15">
        <v>11266</v>
      </c>
      <c r="AB445" s="40">
        <v>10615</v>
      </c>
      <c r="AC445" s="15">
        <f t="shared" si="193"/>
        <v>1226</v>
      </c>
      <c r="AD445" s="1"/>
      <c r="AE445" s="3">
        <v>1</v>
      </c>
      <c r="AF445" s="1" t="s">
        <v>155</v>
      </c>
      <c r="AG445" s="1">
        <v>11266</v>
      </c>
      <c r="AH445" s="1"/>
      <c r="AI445" s="39"/>
      <c r="AJ445" s="81" t="s">
        <v>568</v>
      </c>
      <c r="AK445" s="84">
        <v>65000</v>
      </c>
      <c r="AL445" s="81">
        <v>0</v>
      </c>
      <c r="AM445" s="81">
        <v>0</v>
      </c>
      <c r="AN445" s="84">
        <v>13000</v>
      </c>
      <c r="AO445" s="81">
        <v>0</v>
      </c>
      <c r="AR445" s="32" t="s">
        <v>385</v>
      </c>
      <c r="AS445" s="57">
        <v>51579</v>
      </c>
      <c r="AT445" s="57">
        <v>0</v>
      </c>
      <c r="AU445" s="57">
        <v>0</v>
      </c>
      <c r="AV445" s="57">
        <v>0</v>
      </c>
      <c r="AW445" s="57">
        <v>0</v>
      </c>
      <c r="AZ445" s="32" t="s">
        <v>385</v>
      </c>
      <c r="BA445" s="57">
        <v>51579</v>
      </c>
      <c r="BB445" s="57">
        <v>0</v>
      </c>
      <c r="BC445" s="57">
        <v>0</v>
      </c>
      <c r="BD445" s="57">
        <v>0</v>
      </c>
      <c r="BE445" s="57">
        <v>0</v>
      </c>
      <c r="BF445" s="50"/>
      <c r="BH445" s="32" t="s">
        <v>385</v>
      </c>
      <c r="BI445" s="33">
        <f>52064*1.1</f>
        <v>57270.4</v>
      </c>
      <c r="BJ445" s="33">
        <v>0</v>
      </c>
      <c r="BK445" s="33">
        <v>0</v>
      </c>
      <c r="BL445" s="33">
        <v>0</v>
      </c>
      <c r="BM445" s="33">
        <v>0</v>
      </c>
    </row>
    <row r="446" spans="1:65" ht="21.75">
      <c r="A446" s="15" t="s">
        <v>156</v>
      </c>
      <c r="B446" s="62" t="s">
        <v>105</v>
      </c>
      <c r="C446" s="29">
        <f t="shared" si="178"/>
        <v>359249</v>
      </c>
      <c r="D446" s="21">
        <f t="shared" si="179"/>
        <v>0</v>
      </c>
      <c r="E446" s="15">
        <f t="shared" si="188"/>
        <v>359249</v>
      </c>
      <c r="F446" s="15"/>
      <c r="G446" s="15">
        <f t="shared" si="180"/>
        <v>0</v>
      </c>
      <c r="H446" s="21">
        <f t="shared" si="181"/>
        <v>9000</v>
      </c>
      <c r="I446" s="15">
        <f t="shared" si="182"/>
        <v>4500</v>
      </c>
      <c r="J446" s="21">
        <f t="shared" si="183"/>
        <v>0</v>
      </c>
      <c r="K446" s="15">
        <f t="shared" si="184"/>
        <v>0</v>
      </c>
      <c r="L446" s="15">
        <f t="shared" si="185"/>
        <v>4500</v>
      </c>
      <c r="M446" s="15"/>
      <c r="N446" s="15">
        <f t="shared" si="186"/>
        <v>354749</v>
      </c>
      <c r="O446" s="15">
        <f t="shared" si="187"/>
        <v>317874.10000000003</v>
      </c>
      <c r="P446" s="15"/>
      <c r="Q446" s="30" t="s">
        <v>44</v>
      </c>
      <c r="R446" s="15"/>
      <c r="S446" s="76">
        <f t="shared" si="189"/>
        <v>81305</v>
      </c>
      <c r="T446" s="15">
        <f t="shared" si="190"/>
        <v>8131</v>
      </c>
      <c r="U446" s="15">
        <f t="shared" si="191"/>
        <v>89436</v>
      </c>
      <c r="V446" s="15"/>
      <c r="W446" s="15" t="s">
        <v>156</v>
      </c>
      <c r="X446" s="15">
        <f t="shared" si="192"/>
        <v>81305</v>
      </c>
      <c r="Y446" s="15">
        <v>75804</v>
      </c>
      <c r="Z446" s="15">
        <v>68499</v>
      </c>
      <c r="AA446" s="15">
        <v>47342</v>
      </c>
      <c r="AB446" s="40">
        <v>57634</v>
      </c>
      <c r="AC446" s="15">
        <f t="shared" si="193"/>
        <v>21157</v>
      </c>
      <c r="AD446" s="1"/>
      <c r="AE446" s="3">
        <v>1</v>
      </c>
      <c r="AF446" s="1" t="s">
        <v>156</v>
      </c>
      <c r="AG446" s="1">
        <v>47342</v>
      </c>
      <c r="AH446" s="14"/>
      <c r="AJ446" s="89"/>
      <c r="AK446" s="91">
        <f>AS446</f>
        <v>359249</v>
      </c>
      <c r="AL446" s="91">
        <f>AT446</f>
        <v>0</v>
      </c>
      <c r="AM446" s="91">
        <f>AU446</f>
        <v>0</v>
      </c>
      <c r="AN446" s="91">
        <f>AV446</f>
        <v>9000</v>
      </c>
      <c r="AO446" s="91">
        <f>AW446</f>
        <v>0</v>
      </c>
      <c r="AR446" s="32" t="s">
        <v>311</v>
      </c>
      <c r="AS446" s="57">
        <v>359249</v>
      </c>
      <c r="AT446" s="57">
        <v>0</v>
      </c>
      <c r="AU446" s="57">
        <v>0</v>
      </c>
      <c r="AV446" s="57">
        <v>9000</v>
      </c>
      <c r="AW446" s="57">
        <v>0</v>
      </c>
      <c r="AZ446" s="32" t="s">
        <v>499</v>
      </c>
      <c r="BA446" s="57">
        <v>359249</v>
      </c>
      <c r="BB446" s="57">
        <v>0</v>
      </c>
      <c r="BC446" s="57">
        <v>0</v>
      </c>
      <c r="BD446" s="57">
        <v>9000</v>
      </c>
      <c r="BE446" s="57">
        <v>0</v>
      </c>
      <c r="BF446" s="50"/>
      <c r="BH446" s="32" t="s">
        <v>311</v>
      </c>
      <c r="BI446" s="33">
        <v>316018.5</v>
      </c>
      <c r="BJ446" s="33">
        <v>0</v>
      </c>
      <c r="BK446" s="33">
        <v>0</v>
      </c>
      <c r="BL446" s="33">
        <v>14065</v>
      </c>
      <c r="BM446" s="33">
        <v>7668</v>
      </c>
    </row>
    <row r="447" spans="1:65" ht="21">
      <c r="A447" s="15" t="s">
        <v>157</v>
      </c>
      <c r="B447" s="28"/>
      <c r="C447" s="29">
        <f t="shared" si="178"/>
        <v>89910</v>
      </c>
      <c r="D447" s="21">
        <f t="shared" si="179"/>
        <v>5289.8</v>
      </c>
      <c r="E447" s="15">
        <f t="shared" si="188"/>
        <v>95199.8</v>
      </c>
      <c r="F447" s="15"/>
      <c r="G447" s="15">
        <f t="shared" si="180"/>
        <v>0</v>
      </c>
      <c r="H447" s="21">
        <f t="shared" si="181"/>
        <v>8415.48</v>
      </c>
      <c r="I447" s="15">
        <f t="shared" si="182"/>
        <v>4207.74</v>
      </c>
      <c r="J447" s="21">
        <f t="shared" si="183"/>
        <v>0</v>
      </c>
      <c r="K447" s="15">
        <f t="shared" si="184"/>
        <v>0</v>
      </c>
      <c r="L447" s="15">
        <f t="shared" si="185"/>
        <v>4207.74</v>
      </c>
      <c r="M447" s="15"/>
      <c r="N447" s="15">
        <f t="shared" si="186"/>
        <v>90992.06</v>
      </c>
      <c r="O447" s="15">
        <f t="shared" si="187"/>
        <v>80492.854</v>
      </c>
      <c r="P447" s="15"/>
      <c r="Q447" s="30" t="s">
        <v>44</v>
      </c>
      <c r="R447" s="15"/>
      <c r="S447" s="76">
        <f t="shared" si="189"/>
        <v>20588</v>
      </c>
      <c r="T447" s="15">
        <f t="shared" si="190"/>
        <v>2059</v>
      </c>
      <c r="U447" s="15">
        <f t="shared" si="191"/>
        <v>22647</v>
      </c>
      <c r="V447" s="15"/>
      <c r="W447" s="15" t="s">
        <v>157</v>
      </c>
      <c r="X447" s="15">
        <f t="shared" si="192"/>
        <v>20588</v>
      </c>
      <c r="Y447" s="15">
        <v>15637</v>
      </c>
      <c r="Z447" s="15">
        <v>14738</v>
      </c>
      <c r="AA447" s="15">
        <v>26367</v>
      </c>
      <c r="AB447" s="40">
        <v>26464</v>
      </c>
      <c r="AC447" s="15">
        <f t="shared" si="193"/>
        <v>-11629</v>
      </c>
      <c r="AD447" s="1"/>
      <c r="AE447" s="3">
        <v>1</v>
      </c>
      <c r="AF447" s="1" t="s">
        <v>157</v>
      </c>
      <c r="AG447" s="1">
        <v>26367</v>
      </c>
      <c r="AH447" s="14"/>
      <c r="AJ447" s="81" t="s">
        <v>570</v>
      </c>
      <c r="AK447" s="81">
        <v>89910</v>
      </c>
      <c r="AL447" s="81">
        <v>5289.8</v>
      </c>
      <c r="AM447" s="81">
        <v>0</v>
      </c>
      <c r="AN447" s="81">
        <v>8415.48</v>
      </c>
      <c r="AO447" s="81">
        <v>0</v>
      </c>
      <c r="AR447" s="32" t="s">
        <v>310</v>
      </c>
      <c r="AS447" s="57">
        <v>81782</v>
      </c>
      <c r="AT447" s="57">
        <v>0</v>
      </c>
      <c r="AU447" s="57">
        <v>0</v>
      </c>
      <c r="AV447" s="57">
        <v>14739</v>
      </c>
      <c r="AW447" s="57">
        <v>0</v>
      </c>
      <c r="AZ447" s="32" t="s">
        <v>310</v>
      </c>
      <c r="BA447" s="57">
        <v>81782</v>
      </c>
      <c r="BB447" s="57">
        <v>0</v>
      </c>
      <c r="BC447" s="57">
        <v>0</v>
      </c>
      <c r="BD447" s="57">
        <v>14739</v>
      </c>
      <c r="BE447" s="57">
        <v>0</v>
      </c>
      <c r="BF447" s="50"/>
      <c r="BH447" s="32" t="s">
        <v>310</v>
      </c>
      <c r="BI447" s="33">
        <v>67290</v>
      </c>
      <c r="BJ447" s="33">
        <v>0</v>
      </c>
      <c r="BK447" s="33">
        <v>0</v>
      </c>
      <c r="BL447" s="33">
        <v>0</v>
      </c>
      <c r="BM447" s="33">
        <v>0</v>
      </c>
    </row>
    <row r="448" spans="1:65" ht="21">
      <c r="A448" s="15" t="s">
        <v>158</v>
      </c>
      <c r="B448" s="28"/>
      <c r="C448" s="29">
        <f t="shared" si="178"/>
        <v>116493</v>
      </c>
      <c r="D448" s="21">
        <f t="shared" si="179"/>
        <v>0</v>
      </c>
      <c r="E448" s="15">
        <f t="shared" si="188"/>
        <v>116493</v>
      </c>
      <c r="F448" s="15"/>
      <c r="G448" s="15">
        <f t="shared" si="180"/>
        <v>0</v>
      </c>
      <c r="H448" s="21">
        <f t="shared" si="181"/>
        <v>21000</v>
      </c>
      <c r="I448" s="15">
        <f t="shared" si="182"/>
        <v>10500</v>
      </c>
      <c r="J448" s="21">
        <f t="shared" si="183"/>
        <v>0</v>
      </c>
      <c r="K448" s="15">
        <f t="shared" si="184"/>
        <v>0</v>
      </c>
      <c r="L448" s="15">
        <f t="shared" si="185"/>
        <v>10500</v>
      </c>
      <c r="M448" s="15"/>
      <c r="N448" s="15">
        <f t="shared" si="186"/>
        <v>105993</v>
      </c>
      <c r="O448" s="15">
        <f t="shared" si="187"/>
        <v>93993.7</v>
      </c>
      <c r="P448" s="15"/>
      <c r="Q448" s="30" t="s">
        <v>44</v>
      </c>
      <c r="R448" s="15"/>
      <c r="S448" s="76">
        <f t="shared" si="189"/>
        <v>24041</v>
      </c>
      <c r="T448" s="15">
        <f t="shared" si="190"/>
        <v>2404</v>
      </c>
      <c r="U448" s="15">
        <f t="shared" si="191"/>
        <v>26445</v>
      </c>
      <c r="V448" s="15"/>
      <c r="W448" s="15" t="s">
        <v>158</v>
      </c>
      <c r="X448" s="15">
        <f t="shared" si="192"/>
        <v>24041</v>
      </c>
      <c r="Y448" s="15">
        <v>22081</v>
      </c>
      <c r="Z448" s="15">
        <v>21846</v>
      </c>
      <c r="AA448" s="15">
        <v>22286</v>
      </c>
      <c r="AB448" s="40">
        <v>24960</v>
      </c>
      <c r="AC448" s="15">
        <f t="shared" si="193"/>
        <v>-440</v>
      </c>
      <c r="AD448" s="1"/>
      <c r="AE448" s="3">
        <v>1</v>
      </c>
      <c r="AF448" s="1" t="s">
        <v>158</v>
      </c>
      <c r="AG448" s="1">
        <v>22286</v>
      </c>
      <c r="AH448" s="14"/>
      <c r="AJ448" s="81" t="s">
        <v>500</v>
      </c>
      <c r="AK448" s="81">
        <v>116493</v>
      </c>
      <c r="AL448" s="81">
        <v>0</v>
      </c>
      <c r="AM448" s="81">
        <v>0</v>
      </c>
      <c r="AN448" s="81">
        <v>21000</v>
      </c>
      <c r="AO448" s="81">
        <v>0</v>
      </c>
      <c r="AR448" s="32" t="s">
        <v>306</v>
      </c>
      <c r="AS448" s="57">
        <v>112035</v>
      </c>
      <c r="AT448" s="57">
        <v>0</v>
      </c>
      <c r="AU448" s="57">
        <v>0</v>
      </c>
      <c r="AV448" s="57">
        <v>15199</v>
      </c>
      <c r="AW448" s="57">
        <v>0</v>
      </c>
      <c r="AZ448" s="32" t="s">
        <v>500</v>
      </c>
      <c r="BA448" s="57">
        <v>112035</v>
      </c>
      <c r="BB448" s="57">
        <v>0</v>
      </c>
      <c r="BC448" s="57">
        <v>0</v>
      </c>
      <c r="BD448" s="57">
        <v>15199</v>
      </c>
      <c r="BE448" s="57">
        <v>0</v>
      </c>
      <c r="BF448" s="50"/>
      <c r="BH448" s="32" t="s">
        <v>306</v>
      </c>
      <c r="BI448" s="33">
        <v>106303.1</v>
      </c>
      <c r="BJ448" s="33">
        <v>0</v>
      </c>
      <c r="BK448" s="33">
        <v>0</v>
      </c>
      <c r="BL448" s="33">
        <v>14627.04</v>
      </c>
      <c r="BM448" s="33">
        <v>0</v>
      </c>
    </row>
    <row r="449" spans="1:65" ht="21">
      <c r="A449" s="15" t="s">
        <v>159</v>
      </c>
      <c r="B449" s="28"/>
      <c r="C449" s="29">
        <f t="shared" si="178"/>
        <v>199696</v>
      </c>
      <c r="D449" s="21">
        <f t="shared" si="179"/>
        <v>0</v>
      </c>
      <c r="E449" s="15">
        <f t="shared" si="188"/>
        <v>199696</v>
      </c>
      <c r="F449" s="15"/>
      <c r="G449" s="15">
        <f t="shared" si="180"/>
        <v>0</v>
      </c>
      <c r="H449" s="21">
        <f t="shared" si="181"/>
        <v>0</v>
      </c>
      <c r="I449" s="15">
        <f t="shared" si="182"/>
        <v>0</v>
      </c>
      <c r="J449" s="21">
        <f t="shared" si="183"/>
        <v>0</v>
      </c>
      <c r="K449" s="15">
        <f t="shared" si="184"/>
        <v>0</v>
      </c>
      <c r="L449" s="15">
        <f t="shared" si="185"/>
        <v>0</v>
      </c>
      <c r="M449" s="15"/>
      <c r="N449" s="15">
        <f t="shared" si="186"/>
        <v>199696</v>
      </c>
      <c r="O449" s="15">
        <f t="shared" si="187"/>
        <v>178326.4</v>
      </c>
      <c r="P449" s="15"/>
      <c r="Q449" s="30" t="s">
        <v>44</v>
      </c>
      <c r="R449" s="15"/>
      <c r="S449" s="76">
        <f t="shared" si="189"/>
        <v>45612</v>
      </c>
      <c r="T449" s="15">
        <f t="shared" si="190"/>
        <v>4561</v>
      </c>
      <c r="U449" s="15">
        <f t="shared" si="191"/>
        <v>50173</v>
      </c>
      <c r="V449" s="15"/>
      <c r="W449" s="15" t="s">
        <v>159</v>
      </c>
      <c r="X449" s="15">
        <f t="shared" si="192"/>
        <v>45612</v>
      </c>
      <c r="Y449" s="15">
        <v>44575</v>
      </c>
      <c r="Z449" s="15">
        <v>45931</v>
      </c>
      <c r="AA449" s="15">
        <v>36923</v>
      </c>
      <c r="AB449" s="40">
        <v>37153</v>
      </c>
      <c r="AC449" s="15">
        <f t="shared" si="193"/>
        <v>9008</v>
      </c>
      <c r="AD449" s="1"/>
      <c r="AE449" s="3">
        <v>1</v>
      </c>
      <c r="AF449" s="1" t="s">
        <v>159</v>
      </c>
      <c r="AG449" s="1">
        <v>36923</v>
      </c>
      <c r="AH449" s="14"/>
      <c r="AJ449" s="81" t="s">
        <v>305</v>
      </c>
      <c r="AK449" s="81">
        <v>199696</v>
      </c>
      <c r="AL449" s="81">
        <v>0</v>
      </c>
      <c r="AM449" s="81">
        <v>0</v>
      </c>
      <c r="AN449" s="81">
        <v>0</v>
      </c>
      <c r="AO449" s="81">
        <v>0</v>
      </c>
      <c r="AR449" s="32" t="s">
        <v>305</v>
      </c>
      <c r="AS449" s="57">
        <v>209242.64</v>
      </c>
      <c r="AT449" s="57">
        <v>0</v>
      </c>
      <c r="AU449" s="57">
        <v>0</v>
      </c>
      <c r="AV449" s="57">
        <v>0</v>
      </c>
      <c r="AW449" s="57">
        <v>0</v>
      </c>
      <c r="AZ449" s="32" t="s">
        <v>305</v>
      </c>
      <c r="BA449" s="57">
        <v>209242.64</v>
      </c>
      <c r="BB449" s="57">
        <v>0</v>
      </c>
      <c r="BC449" s="57">
        <v>0</v>
      </c>
      <c r="BD449" s="57">
        <v>0</v>
      </c>
      <c r="BE449" s="57">
        <v>0</v>
      </c>
      <c r="BF449" s="50"/>
      <c r="BH449" s="32" t="s">
        <v>305</v>
      </c>
      <c r="BI449" s="33">
        <v>206413.55</v>
      </c>
      <c r="BJ449" s="33"/>
      <c r="BK449" s="33"/>
      <c r="BL449" s="33">
        <v>0</v>
      </c>
      <c r="BM449" s="33"/>
    </row>
    <row r="450" spans="1:65" ht="21">
      <c r="A450" s="15" t="s">
        <v>160</v>
      </c>
      <c r="B450" s="28"/>
      <c r="C450" s="29">
        <f t="shared" si="178"/>
        <v>248210</v>
      </c>
      <c r="D450" s="21">
        <f t="shared" si="179"/>
        <v>0</v>
      </c>
      <c r="E450" s="15">
        <f t="shared" si="188"/>
        <v>248210</v>
      </c>
      <c r="F450" s="15"/>
      <c r="G450" s="15">
        <f t="shared" si="180"/>
        <v>0</v>
      </c>
      <c r="H450" s="21">
        <f t="shared" si="181"/>
        <v>9000</v>
      </c>
      <c r="I450" s="15">
        <f t="shared" si="182"/>
        <v>4500</v>
      </c>
      <c r="J450" s="21">
        <f t="shared" si="183"/>
        <v>0</v>
      </c>
      <c r="K450" s="15">
        <f t="shared" si="184"/>
        <v>0</v>
      </c>
      <c r="L450" s="15">
        <f t="shared" si="185"/>
        <v>4500</v>
      </c>
      <c r="M450" s="15"/>
      <c r="N450" s="15">
        <f t="shared" si="186"/>
        <v>243710</v>
      </c>
      <c r="O450" s="15">
        <f t="shared" si="187"/>
        <v>217939</v>
      </c>
      <c r="P450" s="15"/>
      <c r="Q450" s="30" t="s">
        <v>44</v>
      </c>
      <c r="R450" s="15"/>
      <c r="S450" s="76">
        <f t="shared" si="189"/>
        <v>55744</v>
      </c>
      <c r="T450" s="15">
        <f t="shared" si="190"/>
        <v>5574</v>
      </c>
      <c r="U450" s="15">
        <f t="shared" si="191"/>
        <v>61318</v>
      </c>
      <c r="V450" s="15"/>
      <c r="W450" s="15" t="s">
        <v>160</v>
      </c>
      <c r="X450" s="15">
        <f t="shared" si="192"/>
        <v>55744</v>
      </c>
      <c r="Y450" s="15">
        <v>54701</v>
      </c>
      <c r="Z450" s="15">
        <v>51378</v>
      </c>
      <c r="AA450" s="15">
        <v>57495</v>
      </c>
      <c r="AB450" s="40">
        <v>54562</v>
      </c>
      <c r="AC450" s="15">
        <f t="shared" si="193"/>
        <v>-6117</v>
      </c>
      <c r="AD450" s="1"/>
      <c r="AE450" s="3">
        <v>1</v>
      </c>
      <c r="AF450" s="1" t="s">
        <v>160</v>
      </c>
      <c r="AG450" s="1">
        <v>57495</v>
      </c>
      <c r="AH450" s="14"/>
      <c r="AJ450" s="81" t="s">
        <v>572</v>
      </c>
      <c r="AK450" s="85">
        <v>248210</v>
      </c>
      <c r="AL450" s="81">
        <v>0</v>
      </c>
      <c r="AM450" s="81">
        <v>0</v>
      </c>
      <c r="AN450" s="85">
        <v>9000</v>
      </c>
      <c r="AO450" s="81">
        <v>0</v>
      </c>
      <c r="AR450" s="32" t="s">
        <v>312</v>
      </c>
      <c r="AS450" s="57">
        <v>265221</v>
      </c>
      <c r="AT450" s="57">
        <v>200</v>
      </c>
      <c r="AU450" s="58">
        <v>0</v>
      </c>
      <c r="AV450" s="57">
        <v>18000</v>
      </c>
      <c r="AW450" s="58">
        <v>0</v>
      </c>
      <c r="AZ450" s="32" t="s">
        <v>501</v>
      </c>
      <c r="BA450" s="57">
        <v>265221</v>
      </c>
      <c r="BB450" s="57">
        <v>200</v>
      </c>
      <c r="BC450" s="58">
        <v>0</v>
      </c>
      <c r="BD450" s="57">
        <v>18000</v>
      </c>
      <c r="BE450" s="58">
        <v>0</v>
      </c>
      <c r="BF450" s="50"/>
      <c r="BH450" s="32" t="s">
        <v>312</v>
      </c>
      <c r="BI450" s="33">
        <v>210912</v>
      </c>
      <c r="BJ450" s="33">
        <v>19795</v>
      </c>
      <c r="BK450" s="33">
        <v>0</v>
      </c>
      <c r="BL450" s="33">
        <v>0</v>
      </c>
      <c r="BM450" s="33">
        <v>0</v>
      </c>
    </row>
    <row r="451" spans="1:65" ht="21">
      <c r="A451" s="15" t="s">
        <v>161</v>
      </c>
      <c r="B451" s="28"/>
      <c r="C451" s="29">
        <f t="shared" si="178"/>
        <v>91509</v>
      </c>
      <c r="D451" s="21">
        <f t="shared" si="179"/>
        <v>0</v>
      </c>
      <c r="E451" s="15">
        <f t="shared" si="188"/>
        <v>91509</v>
      </c>
      <c r="F451" s="15"/>
      <c r="G451" s="15">
        <f t="shared" si="180"/>
        <v>0</v>
      </c>
      <c r="H451" s="21">
        <f t="shared" si="181"/>
        <v>12540</v>
      </c>
      <c r="I451" s="15">
        <f t="shared" si="182"/>
        <v>6270</v>
      </c>
      <c r="J451" s="21">
        <f t="shared" si="183"/>
        <v>0</v>
      </c>
      <c r="K451" s="15">
        <f t="shared" si="184"/>
        <v>0</v>
      </c>
      <c r="L451" s="15">
        <f t="shared" si="185"/>
        <v>6270</v>
      </c>
      <c r="M451" s="15"/>
      <c r="N451" s="15">
        <f t="shared" si="186"/>
        <v>85239</v>
      </c>
      <c r="O451" s="15">
        <f t="shared" si="187"/>
        <v>75315.1</v>
      </c>
      <c r="P451" s="15"/>
      <c r="Q451" s="30" t="s">
        <v>44</v>
      </c>
      <c r="R451" s="15"/>
      <c r="S451" s="76">
        <f t="shared" si="189"/>
        <v>19264</v>
      </c>
      <c r="T451" s="15">
        <f t="shared" si="190"/>
        <v>1926</v>
      </c>
      <c r="U451" s="15">
        <f t="shared" si="191"/>
        <v>21190</v>
      </c>
      <c r="V451" s="15"/>
      <c r="W451" s="15" t="s">
        <v>161</v>
      </c>
      <c r="X451" s="15">
        <f t="shared" si="192"/>
        <v>19264</v>
      </c>
      <c r="Y451" s="15">
        <v>19525</v>
      </c>
      <c r="Z451" s="15">
        <v>20857</v>
      </c>
      <c r="AA451" s="15">
        <v>20060</v>
      </c>
      <c r="AB451" s="40">
        <v>18341</v>
      </c>
      <c r="AC451" s="15">
        <f t="shared" si="193"/>
        <v>797</v>
      </c>
      <c r="AD451" s="1"/>
      <c r="AE451" s="3">
        <v>1</v>
      </c>
      <c r="AF451" s="1" t="s">
        <v>161</v>
      </c>
      <c r="AG451" s="1">
        <v>20060</v>
      </c>
      <c r="AH451" s="14"/>
      <c r="AJ451" s="81" t="s">
        <v>569</v>
      </c>
      <c r="AK451" s="84">
        <v>91509</v>
      </c>
      <c r="AL451" s="81">
        <v>0</v>
      </c>
      <c r="AM451" s="81">
        <v>0</v>
      </c>
      <c r="AN451" s="84">
        <v>12540</v>
      </c>
      <c r="AO451" s="81">
        <v>0</v>
      </c>
      <c r="AR451" s="32" t="s">
        <v>308</v>
      </c>
      <c r="AS451" s="57">
        <v>98544</v>
      </c>
      <c r="AT451" s="57">
        <v>0</v>
      </c>
      <c r="AU451" s="57">
        <v>0</v>
      </c>
      <c r="AV451" s="57">
        <v>12036</v>
      </c>
      <c r="AW451" s="57">
        <v>0</v>
      </c>
      <c r="AZ451" s="32" t="s">
        <v>502</v>
      </c>
      <c r="BA451" s="57">
        <v>98544</v>
      </c>
      <c r="BB451" s="57">
        <v>0</v>
      </c>
      <c r="BC451" s="57">
        <v>0</v>
      </c>
      <c r="BD451" s="57">
        <v>12036</v>
      </c>
      <c r="BE451" s="57">
        <v>0</v>
      </c>
      <c r="BF451" s="50"/>
      <c r="BH451" s="32" t="s">
        <v>308</v>
      </c>
      <c r="BI451" s="33">
        <v>100408</v>
      </c>
      <c r="BJ451" s="33">
        <v>0</v>
      </c>
      <c r="BK451" s="33">
        <v>0</v>
      </c>
      <c r="BL451" s="33">
        <v>11658</v>
      </c>
      <c r="BM451" s="33">
        <v>0</v>
      </c>
    </row>
    <row r="452" spans="1:65" ht="21">
      <c r="A452" s="15" t="s">
        <v>214</v>
      </c>
      <c r="B452" s="28"/>
      <c r="C452" s="29">
        <f t="shared" si="178"/>
        <v>46276</v>
      </c>
      <c r="D452" s="21">
        <f t="shared" si="179"/>
        <v>0</v>
      </c>
      <c r="E452" s="15">
        <f t="shared" si="188"/>
        <v>46276</v>
      </c>
      <c r="F452" s="15"/>
      <c r="G452" s="15">
        <f t="shared" si="180"/>
        <v>0</v>
      </c>
      <c r="H452" s="21">
        <f t="shared" si="181"/>
        <v>0</v>
      </c>
      <c r="I452" s="15">
        <f t="shared" si="182"/>
        <v>0</v>
      </c>
      <c r="J452" s="21">
        <f t="shared" si="183"/>
        <v>0</v>
      </c>
      <c r="K452" s="15">
        <f t="shared" si="184"/>
        <v>0</v>
      </c>
      <c r="L452" s="15">
        <f t="shared" si="185"/>
        <v>0</v>
      </c>
      <c r="M452" s="15"/>
      <c r="N452" s="15">
        <f t="shared" si="186"/>
        <v>46276</v>
      </c>
      <c r="O452" s="15">
        <f t="shared" si="187"/>
        <v>40248.4</v>
      </c>
      <c r="P452" s="15"/>
      <c r="Q452" s="30" t="s">
        <v>44</v>
      </c>
      <c r="R452" s="15"/>
      <c r="S452" s="76">
        <f t="shared" si="189"/>
        <v>10295</v>
      </c>
      <c r="T452" s="15">
        <f t="shared" si="190"/>
        <v>1030</v>
      </c>
      <c r="U452" s="15">
        <f t="shared" si="191"/>
        <v>11325</v>
      </c>
      <c r="V452" s="15"/>
      <c r="W452" s="15" t="s">
        <v>214</v>
      </c>
      <c r="X452" s="15">
        <f t="shared" si="192"/>
        <v>10295</v>
      </c>
      <c r="Y452" s="15">
        <v>10904</v>
      </c>
      <c r="Z452" s="15">
        <v>6386</v>
      </c>
      <c r="AA452" s="15">
        <v>7755</v>
      </c>
      <c r="AB452" s="40">
        <v>9134</v>
      </c>
      <c r="AC452" s="15">
        <f t="shared" si="193"/>
        <v>-1369</v>
      </c>
      <c r="AD452" s="1"/>
      <c r="AE452" s="3">
        <v>1</v>
      </c>
      <c r="AF452" s="1" t="s">
        <v>214</v>
      </c>
      <c r="AG452" s="1">
        <v>7755</v>
      </c>
      <c r="AH452" s="14"/>
      <c r="AJ452" s="81" t="s">
        <v>309</v>
      </c>
      <c r="AK452" s="81">
        <v>46276</v>
      </c>
      <c r="AL452" s="81">
        <v>0</v>
      </c>
      <c r="AM452" s="81">
        <v>0</v>
      </c>
      <c r="AN452" s="81">
        <v>0</v>
      </c>
      <c r="AO452" s="81">
        <v>0</v>
      </c>
      <c r="AR452" s="32" t="s">
        <v>309</v>
      </c>
      <c r="AS452" s="57">
        <v>52362</v>
      </c>
      <c r="AT452" s="57">
        <v>0</v>
      </c>
      <c r="AU452" s="57">
        <v>0</v>
      </c>
      <c r="AV452" s="57">
        <v>0</v>
      </c>
      <c r="AW452" s="57">
        <v>0</v>
      </c>
      <c r="AZ452" s="32" t="s">
        <v>309</v>
      </c>
      <c r="BA452" s="57">
        <v>52362</v>
      </c>
      <c r="BB452" s="57">
        <v>0</v>
      </c>
      <c r="BC452" s="57">
        <v>0</v>
      </c>
      <c r="BD452" s="57">
        <v>0</v>
      </c>
      <c r="BE452" s="57">
        <v>0</v>
      </c>
      <c r="BF452" s="50"/>
      <c r="BH452" s="32" t="s">
        <v>309</v>
      </c>
      <c r="BI452" s="33">
        <v>30040</v>
      </c>
      <c r="BJ452" s="33">
        <v>0</v>
      </c>
      <c r="BK452" s="33">
        <v>0</v>
      </c>
      <c r="BL452" s="33">
        <v>0</v>
      </c>
      <c r="BM452" s="33">
        <v>0</v>
      </c>
    </row>
    <row r="453" spans="1:65" ht="21">
      <c r="A453" s="15" t="s">
        <v>405</v>
      </c>
      <c r="B453" s="28"/>
      <c r="C453" s="29">
        <f t="shared" si="178"/>
        <v>170273</v>
      </c>
      <c r="D453" s="21">
        <f t="shared" si="179"/>
        <v>256</v>
      </c>
      <c r="E453" s="15">
        <f t="shared" si="188"/>
        <v>170529</v>
      </c>
      <c r="F453" s="15"/>
      <c r="G453" s="15">
        <f t="shared" si="180"/>
        <v>0</v>
      </c>
      <c r="H453" s="21">
        <f t="shared" si="181"/>
        <v>21000</v>
      </c>
      <c r="I453" s="15">
        <f t="shared" si="182"/>
        <v>10500</v>
      </c>
      <c r="J453" s="21">
        <f t="shared" si="183"/>
        <v>42525</v>
      </c>
      <c r="K453" s="15">
        <f t="shared" si="184"/>
        <v>10631.25</v>
      </c>
      <c r="L453" s="15">
        <f t="shared" si="185"/>
        <v>21131.25</v>
      </c>
      <c r="M453" s="15"/>
      <c r="N453" s="15">
        <f>E453-L453</f>
        <v>149397.75</v>
      </c>
      <c r="O453" s="15">
        <f>IF(N453&gt;=4000,(N453-4000)*0.9+2200,IF(N453&gt;=3000,(N453-3000)*0.8+1400,IF(N453&gt;=2000,(N453-2000)*0.6+800,IF(N453&gt;0,N453*0.4,0))))</f>
        <v>133057.975</v>
      </c>
      <c r="P453" s="15"/>
      <c r="Q453" s="30" t="s">
        <v>44</v>
      </c>
      <c r="R453" s="15"/>
      <c r="S453" s="76">
        <f t="shared" si="189"/>
        <v>34033</v>
      </c>
      <c r="T453" s="15">
        <f>ROUND(SUM(S453*0.1),0)</f>
        <v>3403</v>
      </c>
      <c r="U453" s="15">
        <f>SUM(S453:T453)</f>
        <v>37436</v>
      </c>
      <c r="V453" s="15"/>
      <c r="W453" s="15" t="s">
        <v>406</v>
      </c>
      <c r="X453" s="15">
        <f t="shared" si="192"/>
        <v>34033</v>
      </c>
      <c r="Y453" s="15">
        <v>40403</v>
      </c>
      <c r="Z453" s="15">
        <v>40891</v>
      </c>
      <c r="AA453" s="15">
        <v>39458</v>
      </c>
      <c r="AB453" s="40">
        <v>39458</v>
      </c>
      <c r="AC453" s="15">
        <f t="shared" si="193"/>
        <v>1433</v>
      </c>
      <c r="AD453" s="1"/>
      <c r="AE453" s="3">
        <v>1</v>
      </c>
      <c r="AF453" s="1" t="s">
        <v>393</v>
      </c>
      <c r="AG453" s="1">
        <v>39458</v>
      </c>
      <c r="AH453" s="14"/>
      <c r="AJ453" s="81" t="s">
        <v>573</v>
      </c>
      <c r="AK453" s="81">
        <v>170273</v>
      </c>
      <c r="AL453" s="81">
        <v>256</v>
      </c>
      <c r="AM453" s="81">
        <v>0</v>
      </c>
      <c r="AN453" s="81">
        <v>21000</v>
      </c>
      <c r="AO453" s="81">
        <v>42525</v>
      </c>
      <c r="AR453" s="32" t="s">
        <v>316</v>
      </c>
      <c r="AS453" s="57">
        <v>211382</v>
      </c>
      <c r="AT453" s="57">
        <v>0</v>
      </c>
      <c r="AU453" s="57">
        <v>0</v>
      </c>
      <c r="AV453" s="57">
        <v>16658</v>
      </c>
      <c r="AW453" s="57">
        <v>53001</v>
      </c>
      <c r="AZ453" s="32" t="s">
        <v>316</v>
      </c>
      <c r="BA453" s="57">
        <v>211382</v>
      </c>
      <c r="BB453" s="57">
        <v>0</v>
      </c>
      <c r="BC453" s="57">
        <v>0</v>
      </c>
      <c r="BD453" s="57">
        <v>16658</v>
      </c>
      <c r="BE453" s="57">
        <v>53001</v>
      </c>
      <c r="BF453" s="50"/>
      <c r="BH453" s="32" t="s">
        <v>316</v>
      </c>
      <c r="BI453" s="33">
        <v>200731</v>
      </c>
      <c r="BJ453" s="33">
        <v>0</v>
      </c>
      <c r="BK453" s="33">
        <v>0</v>
      </c>
      <c r="BL453" s="33">
        <v>15926</v>
      </c>
      <c r="BM453" s="33">
        <v>35334</v>
      </c>
    </row>
    <row r="454" spans="1:65" ht="21">
      <c r="A454" s="15" t="s">
        <v>162</v>
      </c>
      <c r="B454" s="28"/>
      <c r="C454" s="29">
        <f t="shared" si="178"/>
        <v>188721</v>
      </c>
      <c r="D454" s="21">
        <f t="shared" si="179"/>
        <v>0</v>
      </c>
      <c r="E454" s="15">
        <f t="shared" si="188"/>
        <v>188721</v>
      </c>
      <c r="F454" s="15"/>
      <c r="G454" s="15">
        <f t="shared" si="180"/>
        <v>0</v>
      </c>
      <c r="H454" s="21">
        <f t="shared" si="181"/>
        <v>21000</v>
      </c>
      <c r="I454" s="15">
        <f t="shared" si="182"/>
        <v>10500</v>
      </c>
      <c r="J454" s="21">
        <f t="shared" si="183"/>
        <v>0</v>
      </c>
      <c r="K454" s="15">
        <f t="shared" si="184"/>
        <v>0</v>
      </c>
      <c r="L454" s="15">
        <f t="shared" si="185"/>
        <v>10500</v>
      </c>
      <c r="M454" s="15"/>
      <c r="N454" s="15">
        <f>E454-L454</f>
        <v>178221</v>
      </c>
      <c r="O454" s="15">
        <f>IF(N454&gt;=4000,(N454-4000)*0.9+2200,IF(N454&gt;=3000,(N454-3000)*0.8+1400,IF(N454&gt;=2000,(N454-2000)*0.6+800,IF(N454&gt;0,N454*0.4,0))))</f>
        <v>158998.9</v>
      </c>
      <c r="P454" s="15"/>
      <c r="Q454" s="30" t="s">
        <v>44</v>
      </c>
      <c r="R454" s="15"/>
      <c r="S454" s="76">
        <f>ROUND(SUM(O454*$Q$10),0)</f>
        <v>40668</v>
      </c>
      <c r="T454" s="15">
        <f>ROUND(SUM(S454*0.1),0)</f>
        <v>4067</v>
      </c>
      <c r="U454" s="15">
        <f>SUM(S454:T454)</f>
        <v>44735</v>
      </c>
      <c r="V454" s="15"/>
      <c r="W454" s="15" t="s">
        <v>162</v>
      </c>
      <c r="X454" s="15">
        <f t="shared" si="192"/>
        <v>40668</v>
      </c>
      <c r="Y454" s="15">
        <v>41065</v>
      </c>
      <c r="Z454" s="15">
        <v>39510</v>
      </c>
      <c r="AA454" s="15">
        <v>34440</v>
      </c>
      <c r="AB454" s="40">
        <v>34926</v>
      </c>
      <c r="AC454" s="15">
        <f t="shared" si="193"/>
        <v>5070</v>
      </c>
      <c r="AD454" s="1"/>
      <c r="AE454" s="3">
        <v>1</v>
      </c>
      <c r="AF454" s="1" t="s">
        <v>162</v>
      </c>
      <c r="AG454" s="1">
        <v>34440</v>
      </c>
      <c r="AH454" s="14"/>
      <c r="AJ454" s="81" t="s">
        <v>571</v>
      </c>
      <c r="AK454" s="81">
        <v>188721</v>
      </c>
      <c r="AL454" s="81">
        <v>0</v>
      </c>
      <c r="AM454" s="81">
        <v>0</v>
      </c>
      <c r="AN454" s="81">
        <v>21000</v>
      </c>
      <c r="AO454" s="81">
        <v>0</v>
      </c>
      <c r="AR454" s="32" t="s">
        <v>314</v>
      </c>
      <c r="AS454" s="57">
        <v>202725</v>
      </c>
      <c r="AT454" s="57">
        <v>0</v>
      </c>
      <c r="AU454" s="57">
        <v>0</v>
      </c>
      <c r="AV454" s="57">
        <v>19671</v>
      </c>
      <c r="AW454" s="57">
        <v>0</v>
      </c>
      <c r="AZ454" s="32" t="s">
        <v>503</v>
      </c>
      <c r="BA454" s="57">
        <v>202725</v>
      </c>
      <c r="BB454" s="57">
        <v>0</v>
      </c>
      <c r="BC454" s="57">
        <v>0</v>
      </c>
      <c r="BD454" s="57">
        <v>19671</v>
      </c>
      <c r="BE454" s="57">
        <v>0</v>
      </c>
      <c r="BF454" s="50"/>
      <c r="BH454" s="32" t="s">
        <v>314</v>
      </c>
      <c r="BI454" s="33">
        <v>187418</v>
      </c>
      <c r="BJ454" s="33">
        <v>0</v>
      </c>
      <c r="BK454" s="33">
        <v>0</v>
      </c>
      <c r="BL454" s="33">
        <v>19285</v>
      </c>
      <c r="BM454" s="33">
        <v>0</v>
      </c>
    </row>
    <row r="455" spans="1:65" ht="21">
      <c r="A455" s="15" t="s">
        <v>163</v>
      </c>
      <c r="B455" s="28"/>
      <c r="C455" s="29">
        <f t="shared" si="178"/>
        <v>63650</v>
      </c>
      <c r="D455" s="21">
        <f t="shared" si="179"/>
        <v>0</v>
      </c>
      <c r="E455" s="15">
        <f t="shared" si="188"/>
        <v>63650</v>
      </c>
      <c r="F455" s="15"/>
      <c r="G455" s="15">
        <f t="shared" si="180"/>
        <v>0</v>
      </c>
      <c r="H455" s="21">
        <f t="shared" si="181"/>
        <v>1.75</v>
      </c>
      <c r="I455" s="15">
        <f t="shared" si="182"/>
        <v>0.875</v>
      </c>
      <c r="J455" s="21">
        <f t="shared" si="183"/>
        <v>0</v>
      </c>
      <c r="K455" s="15">
        <f t="shared" si="184"/>
        <v>0</v>
      </c>
      <c r="L455" s="15">
        <f t="shared" si="185"/>
        <v>0.875</v>
      </c>
      <c r="M455" s="15"/>
      <c r="N455" s="15">
        <f>E455-L455</f>
        <v>63649.125</v>
      </c>
      <c r="O455" s="15">
        <f>IF(N455&gt;=4000,(N455-4000)*0.9+2200,IF(N455&gt;=3000,(N455-3000)*0.8+1400,IF(N455&gt;=2000,(N455-2000)*0.6+800,IF(N455&gt;0,N455*0.4,0))))</f>
        <v>55884.2125</v>
      </c>
      <c r="P455" s="15"/>
      <c r="Q455" s="30" t="s">
        <v>44</v>
      </c>
      <c r="R455" s="15"/>
      <c r="S455" s="76">
        <f>ROUND(SUM(O455*$Q$10),0)</f>
        <v>14294</v>
      </c>
      <c r="T455" s="15">
        <f>ROUND(SUM(S455*0.1),0)</f>
        <v>1429</v>
      </c>
      <c r="U455" s="15">
        <f>SUM(S455:T455)</f>
        <v>15723</v>
      </c>
      <c r="V455" s="15"/>
      <c r="W455" s="15" t="s">
        <v>163</v>
      </c>
      <c r="X455" s="15">
        <f t="shared" si="192"/>
        <v>14294</v>
      </c>
      <c r="Y455" s="15">
        <v>11154</v>
      </c>
      <c r="Z455" s="15">
        <v>15854</v>
      </c>
      <c r="AA455" s="15">
        <v>16147</v>
      </c>
      <c r="AB455" s="40">
        <v>17837</v>
      </c>
      <c r="AC455" s="15">
        <f t="shared" si="193"/>
        <v>-293</v>
      </c>
      <c r="AD455" s="1"/>
      <c r="AE455" s="3">
        <v>1</v>
      </c>
      <c r="AF455" s="1" t="s">
        <v>163</v>
      </c>
      <c r="AG455" s="1">
        <v>16147</v>
      </c>
      <c r="AH455" s="14"/>
      <c r="AJ455" s="81" t="s">
        <v>307</v>
      </c>
      <c r="AK455" s="83">
        <v>63650</v>
      </c>
      <c r="AL455" s="81">
        <v>0</v>
      </c>
      <c r="AM455" s="81">
        <v>0</v>
      </c>
      <c r="AN455" s="81">
        <v>1.75</v>
      </c>
      <c r="AO455" s="81">
        <v>0</v>
      </c>
      <c r="AR455" s="32" t="s">
        <v>307</v>
      </c>
      <c r="AS455" s="57">
        <v>53071</v>
      </c>
      <c r="AT455" s="57">
        <v>0</v>
      </c>
      <c r="AU455" s="57">
        <v>0</v>
      </c>
      <c r="AV455" s="57">
        <v>-911</v>
      </c>
      <c r="AW455" s="57">
        <v>0</v>
      </c>
      <c r="AZ455" s="32" t="s">
        <v>504</v>
      </c>
      <c r="BA455" s="57">
        <v>53071</v>
      </c>
      <c r="BB455" s="57">
        <v>0</v>
      </c>
      <c r="BC455" s="57">
        <v>0</v>
      </c>
      <c r="BD455" s="57">
        <v>-911</v>
      </c>
      <c r="BE455" s="57">
        <v>0</v>
      </c>
      <c r="BF455" s="50"/>
      <c r="BH455" s="32" t="s">
        <v>307</v>
      </c>
      <c r="BI455" s="33">
        <v>77677.48</v>
      </c>
      <c r="BJ455" s="33"/>
      <c r="BK455" s="33"/>
      <c r="BL455" s="33">
        <v>10822.55</v>
      </c>
      <c r="BM455" s="33"/>
    </row>
    <row r="456" spans="1:50" ht="21">
      <c r="A456" s="19" t="s">
        <v>3</v>
      </c>
      <c r="B456" s="15"/>
      <c r="C456" s="19" t="s">
        <v>3</v>
      </c>
      <c r="D456" s="19" t="s">
        <v>3</v>
      </c>
      <c r="E456" s="19" t="s">
        <v>3</v>
      </c>
      <c r="F456" s="15"/>
      <c r="G456" s="19" t="s">
        <v>3</v>
      </c>
      <c r="H456" s="19" t="s">
        <v>3</v>
      </c>
      <c r="I456" s="19" t="s">
        <v>3</v>
      </c>
      <c r="J456" s="19" t="s">
        <v>3</v>
      </c>
      <c r="K456" s="19" t="s">
        <v>3</v>
      </c>
      <c r="L456" s="19" t="s">
        <v>3</v>
      </c>
      <c r="M456" s="19" t="s">
        <v>3</v>
      </c>
      <c r="N456" s="19" t="s">
        <v>3</v>
      </c>
      <c r="O456" s="19" t="s">
        <v>3</v>
      </c>
      <c r="P456" s="19" t="s">
        <v>3</v>
      </c>
      <c r="Q456" s="15"/>
      <c r="R456" s="19" t="s">
        <v>3</v>
      </c>
      <c r="S456" s="78" t="s">
        <v>3</v>
      </c>
      <c r="T456" s="19" t="s">
        <v>3</v>
      </c>
      <c r="U456" s="19" t="s">
        <v>3</v>
      </c>
      <c r="V456" s="19" t="s">
        <v>3</v>
      </c>
      <c r="W456" s="15"/>
      <c r="X456" s="15"/>
      <c r="Y456" s="15"/>
      <c r="Z456" s="1"/>
      <c r="AA456" s="1"/>
      <c r="AB456" s="38"/>
      <c r="AC456" s="15"/>
      <c r="AD456" s="1"/>
      <c r="AE456" s="1"/>
      <c r="AF456" s="1"/>
      <c r="AG456" s="1"/>
      <c r="AH456" s="14"/>
      <c r="AS456" s="43"/>
      <c r="AT456" s="43"/>
      <c r="AU456" s="43"/>
      <c r="AV456" s="43"/>
      <c r="AW456" s="43"/>
      <c r="AX456" s="43"/>
    </row>
    <row r="457" spans="1:50" ht="21">
      <c r="A457" s="15" t="s">
        <v>48</v>
      </c>
      <c r="B457" s="15"/>
      <c r="C457" s="15">
        <f>SUM(C441:C456)</f>
        <v>2019740.76</v>
      </c>
      <c r="D457" s="15">
        <f>SUM(D441:D456)</f>
        <v>11109.8</v>
      </c>
      <c r="E457" s="15">
        <f>SUM(E441:E456)</f>
        <v>2030850.56</v>
      </c>
      <c r="F457" s="15"/>
      <c r="G457" s="15">
        <f aca="true" t="shared" si="194" ref="G457:L457">SUM(G441:G456)</f>
        <v>0</v>
      </c>
      <c r="H457" s="15">
        <f t="shared" si="194"/>
        <v>167378.22999999998</v>
      </c>
      <c r="I457" s="15">
        <f t="shared" si="194"/>
        <v>83689.11499999999</v>
      </c>
      <c r="J457" s="15">
        <f t="shared" si="194"/>
        <v>42525</v>
      </c>
      <c r="K457" s="15">
        <f t="shared" si="194"/>
        <v>10631.25</v>
      </c>
      <c r="L457" s="15">
        <f t="shared" si="194"/>
        <v>94320.36499999999</v>
      </c>
      <c r="M457" s="15"/>
      <c r="N457" s="15">
        <f>SUM(N441:N456)</f>
        <v>1936530.195</v>
      </c>
      <c r="O457" s="15">
        <f>SUM(O441:O456)</f>
        <v>1723277.1755</v>
      </c>
      <c r="P457" s="15"/>
      <c r="Q457" s="18" t="s">
        <v>49</v>
      </c>
      <c r="R457" s="15"/>
      <c r="S457" s="76">
        <f>SUM(S441:S456)</f>
        <v>440774</v>
      </c>
      <c r="T457" s="15">
        <f>SUM(T441:T456)</f>
        <v>44077</v>
      </c>
      <c r="U457" s="15">
        <f>SUM(U441:U456)</f>
        <v>484851</v>
      </c>
      <c r="V457" s="15"/>
      <c r="W457" s="15"/>
      <c r="X457" s="15">
        <f>SUM(X442:X456)</f>
        <v>440774</v>
      </c>
      <c r="Y457" s="15">
        <f>SUM(Y442:Y456)</f>
        <v>421071</v>
      </c>
      <c r="Z457" s="15">
        <f>SUM(Z442:Z456)</f>
        <v>416197</v>
      </c>
      <c r="AA457" s="15">
        <f>SUM(AA442:AA456)</f>
        <v>394719</v>
      </c>
      <c r="AB457" s="15">
        <f>SUM(AB442:AB456)</f>
        <v>406113</v>
      </c>
      <c r="AC457" s="15">
        <f t="shared" si="193"/>
        <v>21478</v>
      </c>
      <c r="AD457" s="1"/>
      <c r="AE457" s="1"/>
      <c r="AF457" s="1"/>
      <c r="AG457" s="1"/>
      <c r="AH457" s="14"/>
      <c r="AS457" s="43"/>
      <c r="AT457" s="43"/>
      <c r="AU457" s="43"/>
      <c r="AV457" s="43"/>
      <c r="AW457" s="43"/>
      <c r="AX457" s="43"/>
    </row>
    <row r="458" spans="1:41" ht="21">
      <c r="A458" s="19" t="s">
        <v>3</v>
      </c>
      <c r="B458" s="15"/>
      <c r="C458" s="19" t="s">
        <v>3</v>
      </c>
      <c r="D458" s="19" t="s">
        <v>3</v>
      </c>
      <c r="E458" s="19" t="s">
        <v>3</v>
      </c>
      <c r="F458" s="15"/>
      <c r="G458" s="19" t="s">
        <v>3</v>
      </c>
      <c r="H458" s="19" t="s">
        <v>3</v>
      </c>
      <c r="I458" s="19" t="s">
        <v>3</v>
      </c>
      <c r="J458" s="19" t="s">
        <v>3</v>
      </c>
      <c r="K458" s="19" t="s">
        <v>3</v>
      </c>
      <c r="L458" s="19" t="s">
        <v>3</v>
      </c>
      <c r="M458" s="19" t="s">
        <v>3</v>
      </c>
      <c r="N458" s="19" t="s">
        <v>3</v>
      </c>
      <c r="O458" s="19" t="s">
        <v>3</v>
      </c>
      <c r="P458" s="19" t="s">
        <v>3</v>
      </c>
      <c r="Q458" s="15"/>
      <c r="R458" s="19" t="s">
        <v>3</v>
      </c>
      <c r="S458" s="78" t="s">
        <v>3</v>
      </c>
      <c r="T458" s="19" t="s">
        <v>3</v>
      </c>
      <c r="U458" s="19" t="s">
        <v>3</v>
      </c>
      <c r="V458" s="19" t="s">
        <v>3</v>
      </c>
      <c r="W458" s="35"/>
      <c r="X458" s="35"/>
      <c r="Y458" s="35"/>
      <c r="AB458" s="38"/>
      <c r="AC458" s="15"/>
      <c r="AD458" s="1"/>
      <c r="AE458" s="1"/>
      <c r="AF458" s="1"/>
      <c r="AG458" s="1"/>
      <c r="AH458" s="14"/>
      <c r="AJ458" s="81"/>
      <c r="AK458" s="81"/>
      <c r="AL458" s="81"/>
      <c r="AM458" s="81"/>
      <c r="AN458" s="81"/>
      <c r="AO458" s="81"/>
    </row>
    <row r="459" spans="1:41" ht="2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79"/>
      <c r="T459" s="35"/>
      <c r="U459" s="35"/>
      <c r="V459" s="35"/>
      <c r="W459" s="15"/>
      <c r="X459" s="15"/>
      <c r="Y459" s="15"/>
      <c r="Z459" s="1"/>
      <c r="AA459" s="1"/>
      <c r="AB459" s="38"/>
      <c r="AC459" s="15"/>
      <c r="AJ459" s="81"/>
      <c r="AK459" s="81"/>
      <c r="AN459" s="81"/>
      <c r="AO459" s="81"/>
    </row>
    <row r="460" spans="1:50" ht="21">
      <c r="A460" s="15" t="s">
        <v>61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76"/>
      <c r="T460" s="15"/>
      <c r="U460" s="15"/>
      <c r="V460" s="15"/>
      <c r="W460" s="15"/>
      <c r="X460" s="15"/>
      <c r="Y460" s="15"/>
      <c r="Z460" s="1"/>
      <c r="AA460" s="1"/>
      <c r="AB460" s="38"/>
      <c r="AC460" s="15"/>
      <c r="AD460" s="1"/>
      <c r="AE460" s="1"/>
      <c r="AF460" s="1"/>
      <c r="AG460" s="1"/>
      <c r="AH460" s="1"/>
      <c r="AJ460" s="81"/>
      <c r="AK460" s="84"/>
      <c r="AL460" s="81"/>
      <c r="AM460" s="81"/>
      <c r="AN460" s="84"/>
      <c r="AO460" s="81"/>
      <c r="AR460" s="32"/>
      <c r="AS460" s="57"/>
      <c r="AT460" s="57"/>
      <c r="AU460" s="57"/>
      <c r="AV460" s="57"/>
      <c r="AW460" s="57"/>
      <c r="AX460" s="50"/>
    </row>
    <row r="461" spans="1:50" ht="21">
      <c r="A461" s="15" t="s">
        <v>187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76"/>
      <c r="T461" s="15"/>
      <c r="U461" s="15"/>
      <c r="V461" s="15"/>
      <c r="W461" s="15"/>
      <c r="X461" s="15"/>
      <c r="Y461" s="15"/>
      <c r="Z461" s="1"/>
      <c r="AA461" s="1"/>
      <c r="AB461" s="38"/>
      <c r="AC461" s="15"/>
      <c r="AD461" s="1"/>
      <c r="AE461" s="1"/>
      <c r="AF461" s="1"/>
      <c r="AG461" s="1"/>
      <c r="AH461" s="1"/>
      <c r="AJ461" s="81"/>
      <c r="AK461" s="81"/>
      <c r="AL461" s="81"/>
      <c r="AM461" s="81"/>
      <c r="AN461" s="81"/>
      <c r="AO461" s="81"/>
      <c r="AR461" s="32"/>
      <c r="AS461" s="57"/>
      <c r="AT461" s="57"/>
      <c r="AU461" s="57"/>
      <c r="AV461" s="57"/>
      <c r="AW461" s="57"/>
      <c r="AX461" s="50"/>
    </row>
    <row r="462" spans="1:41" ht="21">
      <c r="A462" s="15" t="s">
        <v>63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76"/>
      <c r="T462" s="15"/>
      <c r="U462" s="15"/>
      <c r="V462" s="15"/>
      <c r="W462" s="15"/>
      <c r="X462" s="15"/>
      <c r="Y462" s="15"/>
      <c r="Z462" s="1"/>
      <c r="AA462" s="1"/>
      <c r="AB462" s="38"/>
      <c r="AC462" s="15"/>
      <c r="AD462" s="1"/>
      <c r="AE462" s="1"/>
      <c r="AF462" s="1"/>
      <c r="AG462" s="1"/>
      <c r="AH462" s="1"/>
      <c r="AJ462" s="81"/>
      <c r="AK462" s="81"/>
      <c r="AL462" s="81"/>
      <c r="AM462" s="81"/>
      <c r="AN462" s="81"/>
      <c r="AO462" s="81"/>
    </row>
    <row r="463" spans="1:41" ht="21">
      <c r="A463" s="15" t="s">
        <v>62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76"/>
      <c r="T463" s="15"/>
      <c r="U463" s="15"/>
      <c r="V463" s="15"/>
      <c r="W463" s="15"/>
      <c r="X463" s="15"/>
      <c r="Y463" s="15"/>
      <c r="Z463" s="1"/>
      <c r="AA463" s="1"/>
      <c r="AB463" s="38"/>
      <c r="AC463" s="1"/>
      <c r="AD463" s="1"/>
      <c r="AE463" s="1"/>
      <c r="AF463" s="1"/>
      <c r="AG463" s="1"/>
      <c r="AH463" s="1"/>
      <c r="AJ463" s="81"/>
      <c r="AK463" s="81"/>
      <c r="AL463" s="81"/>
      <c r="AM463" s="81"/>
      <c r="AN463" s="81"/>
      <c r="AO463" s="81"/>
    </row>
    <row r="464" spans="1:41" ht="21">
      <c r="A464" s="35" t="s">
        <v>188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76"/>
      <c r="T464" s="15"/>
      <c r="U464" s="15"/>
      <c r="V464" s="15"/>
      <c r="W464" s="35"/>
      <c r="X464" s="35"/>
      <c r="Y464" s="35"/>
      <c r="AB464" s="38"/>
      <c r="AC464" s="1"/>
      <c r="AD464" s="1"/>
      <c r="AE464" s="1"/>
      <c r="AF464" s="1"/>
      <c r="AG464" s="1"/>
      <c r="AH464" s="1"/>
      <c r="AJ464" s="81"/>
      <c r="AK464" s="85"/>
      <c r="AL464" s="81"/>
      <c r="AM464" s="81"/>
      <c r="AN464" s="85"/>
      <c r="AO464" s="81"/>
    </row>
    <row r="465" spans="1:41" ht="2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79"/>
      <c r="T465" s="35"/>
      <c r="U465" s="35"/>
      <c r="V465" s="35"/>
      <c r="W465" s="15"/>
      <c r="X465" s="15"/>
      <c r="Y465" s="15"/>
      <c r="Z465" s="1"/>
      <c r="AA465" s="1"/>
      <c r="AB465" s="38"/>
      <c r="AJ465" s="81"/>
      <c r="AK465" s="81"/>
      <c r="AL465" s="81"/>
      <c r="AM465" s="81"/>
      <c r="AN465" s="81"/>
      <c r="AO465" s="81"/>
    </row>
    <row r="466" spans="1:34" ht="21">
      <c r="A466" s="15" t="s">
        <v>64</v>
      </c>
      <c r="B466" s="15"/>
      <c r="C466" s="15"/>
      <c r="D466" s="15" t="s">
        <v>65</v>
      </c>
      <c r="E466" s="15"/>
      <c r="F466" s="15"/>
      <c r="G466" s="15"/>
      <c r="H466" s="15"/>
      <c r="I466" s="15"/>
      <c r="J466" s="15"/>
      <c r="K466" s="15"/>
      <c r="L466" s="15" t="s">
        <v>66</v>
      </c>
      <c r="M466" s="15"/>
      <c r="N466" s="15"/>
      <c r="O466" s="15"/>
      <c r="P466" s="15"/>
      <c r="Q466" s="15"/>
      <c r="R466" s="15"/>
      <c r="S466" s="76"/>
      <c r="T466" s="15"/>
      <c r="U466" s="15"/>
      <c r="V466" s="15"/>
      <c r="W466" s="15"/>
      <c r="X466" s="15"/>
      <c r="Y466" s="15"/>
      <c r="Z466" s="1"/>
      <c r="AA466" s="1"/>
      <c r="AB466" s="38"/>
      <c r="AC466" s="1"/>
      <c r="AD466" s="1"/>
      <c r="AE466" s="1"/>
      <c r="AF466" s="1"/>
      <c r="AG466" s="1"/>
      <c r="AH466" s="1"/>
    </row>
    <row r="467" spans="1:34" ht="21">
      <c r="A467" s="19" t="s">
        <v>3</v>
      </c>
      <c r="B467" s="15"/>
      <c r="C467" s="15"/>
      <c r="D467" s="19" t="s">
        <v>3</v>
      </c>
      <c r="E467" s="19" t="s">
        <v>3</v>
      </c>
      <c r="F467" s="15"/>
      <c r="G467" s="15"/>
      <c r="H467" s="15"/>
      <c r="I467" s="15"/>
      <c r="J467" s="15"/>
      <c r="K467" s="15"/>
      <c r="L467" s="15" t="s">
        <v>67</v>
      </c>
      <c r="M467" s="15"/>
      <c r="N467" s="15"/>
      <c r="O467" s="15"/>
      <c r="P467" s="15"/>
      <c r="Q467" s="15"/>
      <c r="R467" s="15"/>
      <c r="S467" s="76"/>
      <c r="T467" s="15"/>
      <c r="U467" s="15"/>
      <c r="V467" s="15"/>
      <c r="W467" s="15"/>
      <c r="X467" s="15"/>
      <c r="Y467" s="15"/>
      <c r="Z467" s="1"/>
      <c r="AA467" s="1"/>
      <c r="AB467" s="38"/>
      <c r="AC467" s="1"/>
      <c r="AD467" s="1"/>
      <c r="AE467" s="1"/>
      <c r="AF467" s="1"/>
      <c r="AG467" s="1"/>
      <c r="AH467" s="1"/>
    </row>
    <row r="468" spans="1:34" ht="21">
      <c r="A468" s="15" t="s">
        <v>68</v>
      </c>
      <c r="B468" s="15"/>
      <c r="C468" s="15"/>
      <c r="D468" s="15" t="s">
        <v>69</v>
      </c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76"/>
      <c r="T468" s="15"/>
      <c r="U468" s="15"/>
      <c r="V468" s="15"/>
      <c r="W468" s="15"/>
      <c r="X468" s="15"/>
      <c r="Y468" s="15"/>
      <c r="Z468" s="1"/>
      <c r="AA468" s="1"/>
      <c r="AB468" s="38"/>
      <c r="AC468" s="1"/>
      <c r="AD468" s="1"/>
      <c r="AE468" s="1"/>
      <c r="AF468" s="1"/>
      <c r="AG468" s="1"/>
      <c r="AH468" s="1"/>
    </row>
    <row r="469" spans="1:34" ht="21">
      <c r="A469" s="15" t="s">
        <v>70</v>
      </c>
      <c r="B469" s="15"/>
      <c r="C469" s="15"/>
      <c r="D469" s="15" t="s">
        <v>71</v>
      </c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76"/>
      <c r="T469" s="15"/>
      <c r="U469" s="15"/>
      <c r="V469" s="15"/>
      <c r="W469" s="15"/>
      <c r="X469" s="15"/>
      <c r="Y469" s="15"/>
      <c r="Z469" s="1"/>
      <c r="AA469" s="1"/>
      <c r="AB469" s="38"/>
      <c r="AC469" s="1"/>
      <c r="AD469" s="1"/>
      <c r="AE469" s="1"/>
      <c r="AF469" s="1"/>
      <c r="AG469" s="1"/>
      <c r="AH469" s="1"/>
    </row>
    <row r="470" spans="1:34" ht="21">
      <c r="A470" s="15" t="s">
        <v>72</v>
      </c>
      <c r="B470" s="15"/>
      <c r="C470" s="15"/>
      <c r="D470" s="15" t="s">
        <v>73</v>
      </c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76"/>
      <c r="T470" s="15"/>
      <c r="U470" s="15"/>
      <c r="V470" s="15"/>
      <c r="W470" s="15"/>
      <c r="X470" s="15"/>
      <c r="Y470" s="15"/>
      <c r="Z470" s="1"/>
      <c r="AA470" s="1"/>
      <c r="AB470" s="38"/>
      <c r="AC470" s="1"/>
      <c r="AD470" s="1"/>
      <c r="AE470" s="1"/>
      <c r="AF470" s="1"/>
      <c r="AG470" s="1"/>
      <c r="AH470" s="1"/>
    </row>
    <row r="471" spans="1:34" ht="21">
      <c r="A471" s="15" t="s">
        <v>74</v>
      </c>
      <c r="B471" s="15"/>
      <c r="C471" s="15"/>
      <c r="D471" s="15" t="s">
        <v>75</v>
      </c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76"/>
      <c r="T471" s="15"/>
      <c r="U471" s="15"/>
      <c r="V471" s="15"/>
      <c r="W471" s="35"/>
      <c r="X471" s="35"/>
      <c r="Y471" s="35"/>
      <c r="AB471" s="38"/>
      <c r="AC471" s="1"/>
      <c r="AD471" s="1"/>
      <c r="AE471" s="1"/>
      <c r="AF471" s="1"/>
      <c r="AG471" s="1"/>
      <c r="AH471" s="1"/>
    </row>
    <row r="472" spans="1:28" ht="2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79"/>
      <c r="T472" s="35"/>
      <c r="U472" s="35"/>
      <c r="V472" s="35"/>
      <c r="W472" s="15"/>
      <c r="X472" s="15"/>
      <c r="Y472" s="15"/>
      <c r="Z472" s="1"/>
      <c r="AA472" s="1"/>
      <c r="AB472" s="38"/>
    </row>
    <row r="473" spans="1:34" ht="2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76"/>
      <c r="T473" s="15"/>
      <c r="U473" s="15"/>
      <c r="V473" s="15"/>
      <c r="W473" s="15"/>
      <c r="X473" s="15"/>
      <c r="Y473" s="15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2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76"/>
      <c r="T474" s="15"/>
      <c r="U474" s="15"/>
      <c r="V474" s="15"/>
      <c r="W474" s="15"/>
      <c r="X474" s="15"/>
      <c r="Y474" s="15"/>
      <c r="Z474" s="1"/>
      <c r="AA474" s="1"/>
      <c r="AB474" s="1"/>
      <c r="AC474" s="1"/>
      <c r="AD474" s="1"/>
      <c r="AE474" s="1"/>
      <c r="AF474" s="1"/>
      <c r="AG474" s="1"/>
      <c r="AH474" s="14"/>
    </row>
    <row r="475" spans="1:34" ht="21">
      <c r="A475" s="15" t="s">
        <v>0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76"/>
      <c r="T475" s="15"/>
      <c r="U475" s="15"/>
      <c r="V475" s="15"/>
      <c r="W475" s="15"/>
      <c r="X475" s="15"/>
      <c r="Y475" s="15"/>
      <c r="Z475" s="1"/>
      <c r="AA475" s="1"/>
      <c r="AB475" s="1"/>
      <c r="AC475" s="1"/>
      <c r="AD475" s="1"/>
      <c r="AE475" s="1"/>
      <c r="AF475" s="1"/>
      <c r="AG475" s="1"/>
      <c r="AH475" s="14"/>
    </row>
    <row r="476" spans="1:34" ht="21">
      <c r="A476" s="15" t="str">
        <f>$A$3</f>
        <v>MISSION &amp; SERVICE BUDGET APPORTIONMENT 2022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76"/>
      <c r="T476" s="15"/>
      <c r="U476" s="15"/>
      <c r="V476" s="15"/>
      <c r="W476" s="15"/>
      <c r="X476" s="15"/>
      <c r="Y476" s="15"/>
      <c r="Z476" s="1"/>
      <c r="AA476" s="1"/>
      <c r="AB476" s="1"/>
      <c r="AC476" s="1"/>
      <c r="AD476" s="1"/>
      <c r="AE476" s="1"/>
      <c r="AF476" s="1"/>
      <c r="AG476" s="1"/>
      <c r="AH476" s="14"/>
    </row>
    <row r="477" spans="1:34" ht="21">
      <c r="A477" s="51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76"/>
      <c r="T477" s="15"/>
      <c r="U477" s="15"/>
      <c r="V477" s="15"/>
      <c r="W477" s="15"/>
      <c r="X477" s="15"/>
      <c r="Y477" s="15"/>
      <c r="Z477" s="1"/>
      <c r="AA477" s="1"/>
      <c r="AB477" s="1"/>
      <c r="AC477" s="1"/>
      <c r="AD477" s="1"/>
      <c r="AE477" s="1"/>
      <c r="AF477" s="1"/>
      <c r="AG477" s="1"/>
      <c r="AH477" s="14"/>
    </row>
    <row r="478" spans="1:34" ht="2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76"/>
      <c r="T478" s="15"/>
      <c r="U478" s="15"/>
      <c r="V478" s="15"/>
      <c r="W478" s="15"/>
      <c r="X478" s="15"/>
      <c r="Y478" s="15"/>
      <c r="Z478" s="1"/>
      <c r="AA478" s="1"/>
      <c r="AB478" s="1"/>
      <c r="AC478" s="1"/>
      <c r="AD478" s="1"/>
      <c r="AE478" s="1"/>
      <c r="AF478" s="1"/>
      <c r="AG478" s="1"/>
      <c r="AH478" s="14"/>
    </row>
    <row r="479" spans="1:34" ht="21">
      <c r="A479" s="15" t="s">
        <v>168</v>
      </c>
      <c r="B479" s="15" t="s">
        <v>2</v>
      </c>
      <c r="C479" s="15" t="str">
        <f>C32</f>
        <v>2020 expenses</v>
      </c>
      <c r="D479" s="15"/>
      <c r="E479" s="15"/>
      <c r="F479" s="15" t="s">
        <v>2</v>
      </c>
      <c r="G479" s="19" t="s">
        <v>3</v>
      </c>
      <c r="H479" s="19" t="s">
        <v>3</v>
      </c>
      <c r="I479" s="19" t="s">
        <v>3</v>
      </c>
      <c r="J479" s="18" t="s">
        <v>4</v>
      </c>
      <c r="K479" s="19" t="s">
        <v>3</v>
      </c>
      <c r="L479" s="19" t="s">
        <v>3</v>
      </c>
      <c r="M479" s="15" t="s">
        <v>2</v>
      </c>
      <c r="N479" s="15" t="s">
        <v>5</v>
      </c>
      <c r="O479" s="15"/>
      <c r="P479" s="15" t="s">
        <v>2</v>
      </c>
      <c r="Q479" s="18" t="s">
        <v>6</v>
      </c>
      <c r="R479" s="15" t="s">
        <v>2</v>
      </c>
      <c r="S479" s="76" t="str">
        <f>S32</f>
        <v>------------------------</v>
      </c>
      <c r="T479" s="18" t="str">
        <f>+T435</f>
        <v>APPORTIONMENT</v>
      </c>
      <c r="U479" s="15" t="str">
        <f>+U435</f>
        <v>---------------------</v>
      </c>
      <c r="V479" s="15" t="s">
        <v>2</v>
      </c>
      <c r="W479" s="15"/>
      <c r="X479" s="15"/>
      <c r="Y479" s="15"/>
      <c r="Z479" s="1"/>
      <c r="AA479" s="1"/>
      <c r="AB479" s="1"/>
      <c r="AC479" s="1"/>
      <c r="AD479" s="1"/>
      <c r="AE479" s="1"/>
      <c r="AF479" s="1"/>
      <c r="AG479" s="1"/>
      <c r="AH479" s="14"/>
    </row>
    <row r="480" spans="1:34" ht="21">
      <c r="A480" s="15"/>
      <c r="B480" s="15" t="s">
        <v>2</v>
      </c>
      <c r="C480" s="15"/>
      <c r="D480" s="15"/>
      <c r="E480" s="15"/>
      <c r="F480" s="15" t="s">
        <v>2</v>
      </c>
      <c r="G480" s="15"/>
      <c r="H480" s="15"/>
      <c r="I480" s="15"/>
      <c r="J480" s="15"/>
      <c r="K480" s="15"/>
      <c r="L480" s="15"/>
      <c r="M480" s="15" t="s">
        <v>2</v>
      </c>
      <c r="N480" s="15"/>
      <c r="O480" s="20" t="s">
        <v>8</v>
      </c>
      <c r="P480" s="15" t="s">
        <v>2</v>
      </c>
      <c r="Q480" s="15"/>
      <c r="R480" s="15" t="s">
        <v>2</v>
      </c>
      <c r="S480" s="76"/>
      <c r="T480" s="15"/>
      <c r="U480" s="15"/>
      <c r="V480" s="15" t="s">
        <v>2</v>
      </c>
      <c r="W480" s="15"/>
      <c r="X480" s="15"/>
      <c r="Y480" s="15"/>
      <c r="Z480" s="1"/>
      <c r="AA480" s="1"/>
      <c r="AB480" s="1"/>
      <c r="AC480" s="1"/>
      <c r="AD480" s="1"/>
      <c r="AE480" s="1"/>
      <c r="AF480" s="1"/>
      <c r="AG480" s="1"/>
      <c r="AH480" s="14"/>
    </row>
    <row r="481" spans="1:34" ht="21">
      <c r="A481" s="15"/>
      <c r="B481" s="15" t="s">
        <v>2</v>
      </c>
      <c r="C481" s="15"/>
      <c r="D481" s="15"/>
      <c r="E481" s="18" t="s">
        <v>9</v>
      </c>
      <c r="F481" s="15" t="s">
        <v>2</v>
      </c>
      <c r="G481" s="15"/>
      <c r="H481" s="15"/>
      <c r="I481" s="15"/>
      <c r="J481" s="20" t="s">
        <v>10</v>
      </c>
      <c r="K481" s="20" t="s">
        <v>11</v>
      </c>
      <c r="L481" s="15"/>
      <c r="M481" s="15" t="s">
        <v>2</v>
      </c>
      <c r="N481" s="15"/>
      <c r="O481" s="20" t="s">
        <v>12</v>
      </c>
      <c r="P481" s="15" t="s">
        <v>2</v>
      </c>
      <c r="Q481" s="18" t="s">
        <v>13</v>
      </c>
      <c r="R481" s="15" t="s">
        <v>2</v>
      </c>
      <c r="S481" s="76"/>
      <c r="U481" s="15"/>
      <c r="V481" s="15" t="s">
        <v>2</v>
      </c>
      <c r="W481" s="15"/>
      <c r="X481" s="15"/>
      <c r="Y481" s="15"/>
      <c r="Z481" s="1"/>
      <c r="AA481" s="1"/>
      <c r="AB481" s="1"/>
      <c r="AC481" s="1"/>
      <c r="AD481" s="1"/>
      <c r="AE481" s="1"/>
      <c r="AF481" s="1"/>
      <c r="AG481" s="1"/>
      <c r="AH481" s="14"/>
    </row>
    <row r="482" spans="1:34" ht="21">
      <c r="A482" s="15"/>
      <c r="B482" s="15" t="s">
        <v>2</v>
      </c>
      <c r="C482" s="15"/>
      <c r="D482" s="18" t="s">
        <v>14</v>
      </c>
      <c r="E482" s="18" t="s">
        <v>15</v>
      </c>
      <c r="F482" s="15" t="s">
        <v>2</v>
      </c>
      <c r="G482" s="20" t="s">
        <v>215</v>
      </c>
      <c r="H482" s="20" t="s">
        <v>16</v>
      </c>
      <c r="I482" s="20" t="s">
        <v>17</v>
      </c>
      <c r="J482" s="20" t="s">
        <v>18</v>
      </c>
      <c r="K482" s="20" t="s">
        <v>19</v>
      </c>
      <c r="L482" s="20" t="s">
        <v>9</v>
      </c>
      <c r="M482" s="15" t="s">
        <v>2</v>
      </c>
      <c r="N482" s="20" t="s">
        <v>20</v>
      </c>
      <c r="O482" s="20" t="s">
        <v>21</v>
      </c>
      <c r="P482" s="15" t="s">
        <v>2</v>
      </c>
      <c r="Q482" s="20" t="s">
        <v>22</v>
      </c>
      <c r="R482" s="15" t="s">
        <v>2</v>
      </c>
      <c r="S482" s="76"/>
      <c r="T482" s="9" t="s">
        <v>23</v>
      </c>
      <c r="U482" s="15"/>
      <c r="V482" s="15" t="s">
        <v>2</v>
      </c>
      <c r="W482" s="15"/>
      <c r="X482" s="15"/>
      <c r="Y482" s="15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21">
      <c r="A483" s="15"/>
      <c r="B483" s="15" t="s">
        <v>2</v>
      </c>
      <c r="C483" s="18" t="s">
        <v>15</v>
      </c>
      <c r="D483" s="18" t="s">
        <v>25</v>
      </c>
      <c r="E483" s="18" t="s">
        <v>14</v>
      </c>
      <c r="F483" s="15" t="s">
        <v>2</v>
      </c>
      <c r="G483" s="20" t="s">
        <v>216</v>
      </c>
      <c r="H483" s="20" t="s">
        <v>26</v>
      </c>
      <c r="I483" s="20" t="s">
        <v>16</v>
      </c>
      <c r="J483" s="20" t="s">
        <v>27</v>
      </c>
      <c r="K483" s="20" t="s">
        <v>28</v>
      </c>
      <c r="L483" s="20" t="s">
        <v>29</v>
      </c>
      <c r="M483" s="15" t="s">
        <v>2</v>
      </c>
      <c r="N483" s="20" t="s">
        <v>15</v>
      </c>
      <c r="O483" s="20" t="s">
        <v>30</v>
      </c>
      <c r="P483" s="15" t="s">
        <v>2</v>
      </c>
      <c r="Q483" s="20" t="s">
        <v>12</v>
      </c>
      <c r="R483" s="15" t="s">
        <v>2</v>
      </c>
      <c r="T483" s="18" t="str">
        <f>+T439</f>
        <v>Extra</v>
      </c>
      <c r="U483" s="20" t="s">
        <v>31</v>
      </c>
      <c r="V483" s="15" t="s">
        <v>2</v>
      </c>
      <c r="W483" s="15"/>
      <c r="X483" s="15"/>
      <c r="Y483" s="15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21">
      <c r="A484" s="15"/>
      <c r="B484" s="15" t="s">
        <v>2</v>
      </c>
      <c r="C484" s="18" t="s">
        <v>14</v>
      </c>
      <c r="D484" s="18" t="s">
        <v>33</v>
      </c>
      <c r="E484" s="18" t="s">
        <v>34</v>
      </c>
      <c r="F484" s="15" t="s">
        <v>2</v>
      </c>
      <c r="G484" s="20" t="s">
        <v>35</v>
      </c>
      <c r="H484" s="20" t="s">
        <v>36</v>
      </c>
      <c r="I484" s="20" t="s">
        <v>37</v>
      </c>
      <c r="J484" s="20" t="s">
        <v>38</v>
      </c>
      <c r="K484" s="20" t="s">
        <v>39</v>
      </c>
      <c r="L484" s="20" t="s">
        <v>40</v>
      </c>
      <c r="M484" s="15" t="s">
        <v>2</v>
      </c>
      <c r="N484" s="20" t="s">
        <v>14</v>
      </c>
      <c r="O484" s="20" t="s">
        <v>41</v>
      </c>
      <c r="P484" s="15" t="s">
        <v>2</v>
      </c>
      <c r="Q484" s="22">
        <f>Q10</f>
        <v>0.25577674211452567</v>
      </c>
      <c r="R484" s="15" t="s">
        <v>2</v>
      </c>
      <c r="S484" s="80" t="str">
        <f>+S440</f>
        <v>Apportionment</v>
      </c>
      <c r="T484" s="18" t="str">
        <f>+T440</f>
        <v>Mile</v>
      </c>
      <c r="U484" s="20" t="s">
        <v>42</v>
      </c>
      <c r="V484" s="15" t="s">
        <v>2</v>
      </c>
      <c r="W484" s="15"/>
      <c r="X484" s="15"/>
      <c r="Y484" s="15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36.75">
      <c r="A485" s="19" t="s">
        <v>3</v>
      </c>
      <c r="B485" s="15"/>
      <c r="C485" s="19" t="s">
        <v>3</v>
      </c>
      <c r="D485" s="19" t="s">
        <v>3</v>
      </c>
      <c r="E485" s="19" t="s">
        <v>3</v>
      </c>
      <c r="F485" s="15"/>
      <c r="G485" s="19" t="s">
        <v>3</v>
      </c>
      <c r="H485" s="19" t="s">
        <v>3</v>
      </c>
      <c r="I485" s="19" t="s">
        <v>3</v>
      </c>
      <c r="J485" s="19" t="s">
        <v>3</v>
      </c>
      <c r="K485" s="19" t="s">
        <v>3</v>
      </c>
      <c r="L485" s="19" t="s">
        <v>3</v>
      </c>
      <c r="M485" s="15"/>
      <c r="N485" s="19" t="s">
        <v>3</v>
      </c>
      <c r="O485" s="19" t="s">
        <v>3</v>
      </c>
      <c r="P485" s="15"/>
      <c r="Q485" s="19" t="s">
        <v>3</v>
      </c>
      <c r="R485" s="15"/>
      <c r="S485" s="78" t="s">
        <v>3</v>
      </c>
      <c r="T485" s="19" t="s">
        <v>3</v>
      </c>
      <c r="U485" s="19" t="s">
        <v>3</v>
      </c>
      <c r="V485" s="15"/>
      <c r="W485" s="15"/>
      <c r="X485" s="69" t="s">
        <v>577</v>
      </c>
      <c r="Y485" s="69" t="s">
        <v>508</v>
      </c>
      <c r="Z485" s="24">
        <v>2020</v>
      </c>
      <c r="AA485" s="24">
        <v>2019</v>
      </c>
      <c r="AB485" s="24">
        <v>2018</v>
      </c>
      <c r="AC485" s="25" t="s">
        <v>394</v>
      </c>
      <c r="AD485" s="1"/>
      <c r="AE485" s="1"/>
      <c r="AF485" s="1"/>
      <c r="AG485" s="1"/>
      <c r="AH485" s="1"/>
    </row>
    <row r="486" spans="1:34" ht="21">
      <c r="A486" s="15" t="s">
        <v>169</v>
      </c>
      <c r="B486" s="15"/>
      <c r="C486" s="15">
        <f>C56</f>
        <v>1231202</v>
      </c>
      <c r="D486" s="15">
        <f>D56</f>
        <v>1247</v>
      </c>
      <c r="E486" s="15">
        <f>E56</f>
        <v>1232449</v>
      </c>
      <c r="F486" s="15"/>
      <c r="G486" s="15">
        <f aca="true" t="shared" si="195" ref="G486:L486">G56</f>
        <v>0</v>
      </c>
      <c r="H486" s="15">
        <f t="shared" si="195"/>
        <v>73813</v>
      </c>
      <c r="I486" s="15">
        <f t="shared" si="195"/>
        <v>36906.5</v>
      </c>
      <c r="J486" s="15">
        <f t="shared" si="195"/>
        <v>1090</v>
      </c>
      <c r="K486" s="15">
        <f t="shared" si="195"/>
        <v>272.5</v>
      </c>
      <c r="L486" s="15">
        <f t="shared" si="195"/>
        <v>37179</v>
      </c>
      <c r="M486" s="15"/>
      <c r="N486" s="15">
        <f>N56</f>
        <v>1195270</v>
      </c>
      <c r="O486" s="15">
        <f>O56</f>
        <v>1053343</v>
      </c>
      <c r="P486" s="15"/>
      <c r="Q486" s="20" t="s">
        <v>44</v>
      </c>
      <c r="R486" s="15"/>
      <c r="S486" s="76">
        <f>S56</f>
        <v>269422</v>
      </c>
      <c r="T486" s="15">
        <f>T56</f>
        <v>26943</v>
      </c>
      <c r="U486" s="15">
        <f>U56</f>
        <v>296365</v>
      </c>
      <c r="V486" s="15"/>
      <c r="W486" s="15"/>
      <c r="X486" s="15">
        <f>X56</f>
        <v>269422</v>
      </c>
      <c r="Y486" s="15">
        <f>Y56</f>
        <v>254753</v>
      </c>
      <c r="Z486" s="15">
        <f>Z56</f>
        <v>261977</v>
      </c>
      <c r="AA486" s="15">
        <f>AA56</f>
        <v>267415</v>
      </c>
      <c r="AB486" s="15">
        <f>AB56</f>
        <v>254447</v>
      </c>
      <c r="AC486" s="15">
        <f>Z486-AA486</f>
        <v>-5438</v>
      </c>
      <c r="AD486" s="1"/>
      <c r="AE486" s="1"/>
      <c r="AF486" s="1"/>
      <c r="AG486" s="15"/>
      <c r="AH486" s="15"/>
    </row>
    <row r="487" spans="1:34" ht="21">
      <c r="A487" s="15" t="s">
        <v>170</v>
      </c>
      <c r="B487" s="15"/>
      <c r="C487" s="15">
        <f>C98</f>
        <v>494010.25</v>
      </c>
      <c r="D487" s="15">
        <f>D98</f>
        <v>0</v>
      </c>
      <c r="E487" s="15">
        <f>E98</f>
        <v>494010.25</v>
      </c>
      <c r="F487" s="15"/>
      <c r="G487" s="15">
        <f aca="true" t="shared" si="196" ref="G487:L487">G98</f>
        <v>0</v>
      </c>
      <c r="H487" s="15">
        <f t="shared" si="196"/>
        <v>26000</v>
      </c>
      <c r="I487" s="15">
        <f t="shared" si="196"/>
        <v>13000</v>
      </c>
      <c r="J487" s="15">
        <f t="shared" si="196"/>
        <v>1221</v>
      </c>
      <c r="K487" s="15">
        <f t="shared" si="196"/>
        <v>305.25</v>
      </c>
      <c r="L487" s="15">
        <f t="shared" si="196"/>
        <v>13305.25</v>
      </c>
      <c r="M487" s="15"/>
      <c r="N487" s="15">
        <f>N98</f>
        <v>480705</v>
      </c>
      <c r="O487" s="15">
        <f>O98</f>
        <v>419006.3</v>
      </c>
      <c r="P487" s="15"/>
      <c r="Q487" s="20" t="s">
        <v>44</v>
      </c>
      <c r="R487" s="15"/>
      <c r="S487" s="76">
        <f>S98</f>
        <v>107173</v>
      </c>
      <c r="T487" s="15">
        <f>T98</f>
        <v>10718</v>
      </c>
      <c r="U487" s="15">
        <f>U98</f>
        <v>117891</v>
      </c>
      <c r="V487" s="15"/>
      <c r="W487" s="68"/>
      <c r="X487" s="15">
        <f>X98</f>
        <v>107173</v>
      </c>
      <c r="Y487" s="15">
        <f>Y98</f>
        <v>102132</v>
      </c>
      <c r="Z487" s="15">
        <f>Z98</f>
        <v>100147</v>
      </c>
      <c r="AA487" s="15">
        <f>AA98</f>
        <v>107715</v>
      </c>
      <c r="AB487" s="15">
        <f>AB98</f>
        <v>110127</v>
      </c>
      <c r="AC487" s="15">
        <f aca="true" t="shared" si="197" ref="AC487:AC495">Z487-AA487</f>
        <v>-7568</v>
      </c>
      <c r="AD487" s="1"/>
      <c r="AE487" s="1"/>
      <c r="AF487" s="1"/>
      <c r="AG487" s="15"/>
      <c r="AH487" s="15"/>
    </row>
    <row r="488" spans="1:34" ht="21">
      <c r="A488" s="15" t="s">
        <v>171</v>
      </c>
      <c r="B488" s="15"/>
      <c r="C488" s="15">
        <f>C147</f>
        <v>1791522.25</v>
      </c>
      <c r="D488" s="15">
        <f>D147</f>
        <v>5724.51</v>
      </c>
      <c r="E488" s="15">
        <f>E147</f>
        <v>1797246.76</v>
      </c>
      <c r="F488" s="15"/>
      <c r="G488" s="15">
        <f aca="true" t="shared" si="198" ref="G488:L488">G147</f>
        <v>0</v>
      </c>
      <c r="H488" s="15">
        <f t="shared" si="198"/>
        <v>165142.4</v>
      </c>
      <c r="I488" s="15">
        <f t="shared" si="198"/>
        <v>82571.2</v>
      </c>
      <c r="J488" s="15">
        <f t="shared" si="198"/>
        <v>51387</v>
      </c>
      <c r="K488" s="15">
        <f t="shared" si="198"/>
        <v>12846.75</v>
      </c>
      <c r="L488" s="15">
        <f t="shared" si="198"/>
        <v>95417.95</v>
      </c>
      <c r="M488" s="15"/>
      <c r="N488" s="15">
        <f>N147</f>
        <v>1701828.81</v>
      </c>
      <c r="O488" s="15">
        <f>O147</f>
        <v>1503645.9289999998</v>
      </c>
      <c r="P488" s="15"/>
      <c r="Q488" s="20" t="s">
        <v>44</v>
      </c>
      <c r="R488" s="15"/>
      <c r="S488" s="76">
        <f>S147</f>
        <v>384596</v>
      </c>
      <c r="T488" s="15">
        <f>T147</f>
        <v>38461</v>
      </c>
      <c r="U488" s="15">
        <f>U147</f>
        <v>423057</v>
      </c>
      <c r="V488" s="15"/>
      <c r="W488" s="68"/>
      <c r="X488" s="15">
        <f>X147</f>
        <v>384596</v>
      </c>
      <c r="Y488" s="15">
        <f>Y147</f>
        <v>411386</v>
      </c>
      <c r="Z488" s="15">
        <f>Z147</f>
        <v>399068</v>
      </c>
      <c r="AA488" s="15">
        <f>AA147</f>
        <v>405557</v>
      </c>
      <c r="AB488" s="15">
        <f>AB147</f>
        <v>408274</v>
      </c>
      <c r="AC488" s="15">
        <f t="shared" si="197"/>
        <v>-6489</v>
      </c>
      <c r="AD488" s="1"/>
      <c r="AE488" s="1"/>
      <c r="AF488" s="1"/>
      <c r="AG488" s="15"/>
      <c r="AH488" s="15"/>
    </row>
    <row r="489" spans="1:34" ht="21">
      <c r="A489" s="15" t="s">
        <v>239</v>
      </c>
      <c r="B489" s="15"/>
      <c r="C489" s="15">
        <f>C190</f>
        <v>1149244.06</v>
      </c>
      <c r="D489" s="15">
        <f>D190</f>
        <v>152</v>
      </c>
      <c r="E489" s="15">
        <f>E190</f>
        <v>1149396.06</v>
      </c>
      <c r="F489" s="15"/>
      <c r="G489" s="15">
        <f aca="true" t="shared" si="199" ref="G489:L489">G190</f>
        <v>0</v>
      </c>
      <c r="H489" s="15">
        <f t="shared" si="199"/>
        <v>121881.04000000001</v>
      </c>
      <c r="I489" s="15">
        <f t="shared" si="199"/>
        <v>60940.520000000004</v>
      </c>
      <c r="J489" s="15">
        <f t="shared" si="199"/>
        <v>9827</v>
      </c>
      <c r="K489" s="15">
        <f t="shared" si="199"/>
        <v>2456.75</v>
      </c>
      <c r="L489" s="15">
        <f t="shared" si="199"/>
        <v>63397.270000000004</v>
      </c>
      <c r="M489" s="15"/>
      <c r="N489" s="15">
        <f>N190</f>
        <v>1085998.79</v>
      </c>
      <c r="O489" s="15">
        <f>O190</f>
        <v>957798.9110000001</v>
      </c>
      <c r="P489" s="15"/>
      <c r="Q489" s="20" t="s">
        <v>44</v>
      </c>
      <c r="R489" s="15"/>
      <c r="S489" s="76">
        <f>S190</f>
        <v>244983</v>
      </c>
      <c r="T489" s="15">
        <f>T190</f>
        <v>24499</v>
      </c>
      <c r="U489" s="15">
        <f>U190</f>
        <v>269482</v>
      </c>
      <c r="V489" s="15"/>
      <c r="W489" s="15"/>
      <c r="X489" s="15">
        <f>X190</f>
        <v>244983</v>
      </c>
      <c r="Y489" s="15">
        <f>Y190</f>
        <v>261039</v>
      </c>
      <c r="Z489" s="15">
        <f>Z190</f>
        <v>275986</v>
      </c>
      <c r="AA489" s="15">
        <f>AA190</f>
        <v>261207</v>
      </c>
      <c r="AB489" s="15">
        <f>AB190</f>
        <v>242472</v>
      </c>
      <c r="AC489" s="15">
        <f t="shared" si="197"/>
        <v>14779</v>
      </c>
      <c r="AD489" s="1"/>
      <c r="AE489" s="1"/>
      <c r="AF489" s="1"/>
      <c r="AG489" s="15"/>
      <c r="AH489" s="15"/>
    </row>
    <row r="490" spans="1:34" ht="21">
      <c r="A490" s="15" t="s">
        <v>172</v>
      </c>
      <c r="B490" s="15"/>
      <c r="C490" s="15">
        <f>C233</f>
        <v>703179.1699999999</v>
      </c>
      <c r="D490" s="15">
        <f>D233</f>
        <v>2676.74</v>
      </c>
      <c r="E490" s="15">
        <f>E233</f>
        <v>705855.9099999999</v>
      </c>
      <c r="F490" s="15"/>
      <c r="G490" s="15">
        <f aca="true" t="shared" si="200" ref="G490:L490">G233</f>
        <v>0</v>
      </c>
      <c r="H490" s="15">
        <f t="shared" si="200"/>
        <v>57208.7</v>
      </c>
      <c r="I490" s="15">
        <f t="shared" si="200"/>
        <v>28604.35</v>
      </c>
      <c r="J490" s="15">
        <f t="shared" si="200"/>
        <v>0</v>
      </c>
      <c r="K490" s="15">
        <f t="shared" si="200"/>
        <v>0</v>
      </c>
      <c r="L490" s="15">
        <f t="shared" si="200"/>
        <v>28604.35</v>
      </c>
      <c r="M490" s="15"/>
      <c r="N490" s="15">
        <f>N233</f>
        <v>677251.5599999999</v>
      </c>
      <c r="O490" s="15">
        <f>O233</f>
        <v>592726.404</v>
      </c>
      <c r="P490" s="15"/>
      <c r="Q490" s="20" t="s">
        <v>44</v>
      </c>
      <c r="R490" s="15"/>
      <c r="S490" s="76">
        <f>S233</f>
        <v>151606</v>
      </c>
      <c r="T490" s="15">
        <f>T233</f>
        <v>15159</v>
      </c>
      <c r="U490" s="15">
        <f>U233</f>
        <v>166765</v>
      </c>
      <c r="V490" s="15"/>
      <c r="W490" s="15"/>
      <c r="X490" s="15">
        <f>X233</f>
        <v>151606</v>
      </c>
      <c r="Y490" s="15">
        <f>Y233</f>
        <v>154455</v>
      </c>
      <c r="Z490" s="15">
        <f>Z233</f>
        <v>156895</v>
      </c>
      <c r="AA490" s="15">
        <f>AA233</f>
        <v>144790</v>
      </c>
      <c r="AB490" s="15">
        <f>AB233</f>
        <v>146570</v>
      </c>
      <c r="AC490" s="15">
        <f t="shared" si="197"/>
        <v>12105</v>
      </c>
      <c r="AD490" s="1"/>
      <c r="AE490" s="1"/>
      <c r="AF490" s="1"/>
      <c r="AG490" s="15"/>
      <c r="AH490" s="15"/>
    </row>
    <row r="491" spans="1:34" ht="21">
      <c r="A491" s="15" t="s">
        <v>173</v>
      </c>
      <c r="B491" s="15"/>
      <c r="C491" s="15">
        <f>C276</f>
        <v>1219407.5</v>
      </c>
      <c r="D491" s="15">
        <f>D276</f>
        <v>2568</v>
      </c>
      <c r="E491" s="15">
        <f>E276</f>
        <v>1221975.5</v>
      </c>
      <c r="F491" s="15"/>
      <c r="G491" s="15">
        <f aca="true" t="shared" si="201" ref="G491:L491">G276</f>
        <v>0</v>
      </c>
      <c r="H491" s="15">
        <f t="shared" si="201"/>
        <v>85556</v>
      </c>
      <c r="I491" s="15">
        <f t="shared" si="201"/>
        <v>42778</v>
      </c>
      <c r="J491" s="15">
        <f t="shared" si="201"/>
        <v>0</v>
      </c>
      <c r="K491" s="15">
        <f t="shared" si="201"/>
        <v>0</v>
      </c>
      <c r="L491" s="15">
        <f t="shared" si="201"/>
        <v>42778</v>
      </c>
      <c r="M491" s="15"/>
      <c r="N491" s="15">
        <f>N276</f>
        <v>1179197.5</v>
      </c>
      <c r="O491" s="15">
        <f>O276</f>
        <v>1044477.7500000001</v>
      </c>
      <c r="P491" s="15"/>
      <c r="Q491" s="20" t="s">
        <v>44</v>
      </c>
      <c r="R491" s="15"/>
      <c r="S491" s="76">
        <f>S276</f>
        <v>267154</v>
      </c>
      <c r="T491" s="15">
        <f>T276</f>
        <v>26715</v>
      </c>
      <c r="U491" s="15">
        <f>U276</f>
        <v>293869</v>
      </c>
      <c r="V491" s="15"/>
      <c r="W491" s="15"/>
      <c r="X491" s="15">
        <f>X276</f>
        <v>267154</v>
      </c>
      <c r="Y491" s="15">
        <f>Y276</f>
        <v>277519</v>
      </c>
      <c r="Z491" s="15">
        <f>Z276</f>
        <v>299084</v>
      </c>
      <c r="AA491" s="15">
        <f>AA276</f>
        <v>295010</v>
      </c>
      <c r="AB491" s="15">
        <f>AB276</f>
        <v>291057</v>
      </c>
      <c r="AC491" s="15">
        <f t="shared" si="197"/>
        <v>4074</v>
      </c>
      <c r="AD491" s="1"/>
      <c r="AE491" s="1"/>
      <c r="AF491" s="1"/>
      <c r="AG491" s="15"/>
      <c r="AH491" s="15"/>
    </row>
    <row r="492" spans="1:34" ht="21">
      <c r="A492" s="15" t="s">
        <v>238</v>
      </c>
      <c r="B492" s="15"/>
      <c r="C492" s="15">
        <f>C327</f>
        <v>3466541.65</v>
      </c>
      <c r="D492" s="15">
        <f>D327</f>
        <v>897.248</v>
      </c>
      <c r="E492" s="15">
        <f>E327</f>
        <v>3467438.898</v>
      </c>
      <c r="F492" s="15"/>
      <c r="G492" s="15">
        <f aca="true" t="shared" si="202" ref="G492:L492">G327</f>
        <v>0</v>
      </c>
      <c r="H492" s="15">
        <f t="shared" si="202"/>
        <v>328802</v>
      </c>
      <c r="I492" s="15">
        <f t="shared" si="202"/>
        <v>164401</v>
      </c>
      <c r="J492" s="15">
        <f t="shared" si="202"/>
        <v>98612.88</v>
      </c>
      <c r="K492" s="15">
        <f t="shared" si="202"/>
        <v>24653.22</v>
      </c>
      <c r="L492" s="15">
        <f t="shared" si="202"/>
        <v>189054.21999999997</v>
      </c>
      <c r="M492" s="15"/>
      <c r="N492" s="15">
        <f>N327</f>
        <v>3278384.678</v>
      </c>
      <c r="O492" s="15">
        <f>O327</f>
        <v>2923946.2102</v>
      </c>
      <c r="P492" s="15"/>
      <c r="Q492" s="20" t="s">
        <v>44</v>
      </c>
      <c r="R492" s="15"/>
      <c r="S492" s="76">
        <f>S327</f>
        <v>747877</v>
      </c>
      <c r="T492" s="15">
        <f>T327</f>
        <v>74790</v>
      </c>
      <c r="U492" s="15">
        <f>U327</f>
        <v>822667</v>
      </c>
      <c r="V492" s="15"/>
      <c r="W492" s="15"/>
      <c r="X492" s="15">
        <f>X327</f>
        <v>747877</v>
      </c>
      <c r="Y492" s="15">
        <f>Y327</f>
        <v>757740</v>
      </c>
      <c r="Z492" s="15">
        <f>Z327</f>
        <v>762932</v>
      </c>
      <c r="AA492" s="15">
        <f>AA327</f>
        <v>761894</v>
      </c>
      <c r="AB492" s="15">
        <f>AB327</f>
        <v>750256</v>
      </c>
      <c r="AC492" s="15">
        <f t="shared" si="197"/>
        <v>1038</v>
      </c>
      <c r="AD492" s="1"/>
      <c r="AE492" s="1"/>
      <c r="AF492" s="1"/>
      <c r="AG492" s="15"/>
      <c r="AH492" s="15"/>
    </row>
    <row r="493" spans="1:34" ht="21">
      <c r="A493" s="15" t="s">
        <v>174</v>
      </c>
      <c r="B493" s="15"/>
      <c r="C493" s="15">
        <f>C370</f>
        <v>992222.6699999999</v>
      </c>
      <c r="D493" s="15">
        <f>D370</f>
        <v>0</v>
      </c>
      <c r="E493" s="15">
        <f>E370</f>
        <v>992222.6699999999</v>
      </c>
      <c r="F493" s="15"/>
      <c r="G493" s="15">
        <f aca="true" t="shared" si="203" ref="G493:L493">G370</f>
        <v>0</v>
      </c>
      <c r="H493" s="15">
        <f t="shared" si="203"/>
        <v>105285.64</v>
      </c>
      <c r="I493" s="15">
        <f t="shared" si="203"/>
        <v>52642.82</v>
      </c>
      <c r="J493" s="15">
        <f t="shared" si="203"/>
        <v>0</v>
      </c>
      <c r="K493" s="15">
        <f t="shared" si="203"/>
        <v>0</v>
      </c>
      <c r="L493" s="15">
        <f t="shared" si="203"/>
        <v>52642.82</v>
      </c>
      <c r="M493" s="15"/>
      <c r="N493" s="15">
        <f>N370</f>
        <v>939579.85</v>
      </c>
      <c r="O493" s="15">
        <f>O370</f>
        <v>828821.8650000001</v>
      </c>
      <c r="P493" s="15"/>
      <c r="Q493" s="20" t="s">
        <v>44</v>
      </c>
      <c r="R493" s="15"/>
      <c r="S493" s="76">
        <f>S370</f>
        <v>211995</v>
      </c>
      <c r="T493" s="15">
        <f>T370</f>
        <v>21199</v>
      </c>
      <c r="U493" s="15">
        <f>U370</f>
        <v>233194</v>
      </c>
      <c r="V493" s="15"/>
      <c r="W493" s="15"/>
      <c r="X493" s="15">
        <f>X370</f>
        <v>211995</v>
      </c>
      <c r="Y493" s="15">
        <f>Y370</f>
        <v>211194</v>
      </c>
      <c r="Z493" s="15">
        <f>Z370</f>
        <v>202510</v>
      </c>
      <c r="AA493" s="15">
        <f>AA370</f>
        <v>192054</v>
      </c>
      <c r="AB493" s="15">
        <f>AB370</f>
        <v>185514</v>
      </c>
      <c r="AC493" s="15">
        <f t="shared" si="197"/>
        <v>10456</v>
      </c>
      <c r="AD493" s="1"/>
      <c r="AE493" s="1"/>
      <c r="AF493" s="1"/>
      <c r="AG493" s="15"/>
      <c r="AH493" s="15"/>
    </row>
    <row r="494" spans="1:34" ht="21">
      <c r="A494" s="15" t="s">
        <v>175</v>
      </c>
      <c r="B494" s="15"/>
      <c r="C494" s="15">
        <f>C415</f>
        <v>1172126.1</v>
      </c>
      <c r="D494" s="15">
        <f>D415</f>
        <v>0</v>
      </c>
      <c r="E494" s="15">
        <f>E415</f>
        <v>1172126.1</v>
      </c>
      <c r="F494" s="15"/>
      <c r="G494" s="15">
        <f aca="true" t="shared" si="204" ref="G494:L494">G415</f>
        <v>21558.46</v>
      </c>
      <c r="H494" s="15">
        <f t="shared" si="204"/>
        <v>56906.57000000001</v>
      </c>
      <c r="I494" s="15">
        <f t="shared" si="204"/>
        <v>28453.285000000003</v>
      </c>
      <c r="J494" s="15">
        <f t="shared" si="204"/>
        <v>0</v>
      </c>
      <c r="K494" s="15">
        <f t="shared" si="204"/>
        <v>0</v>
      </c>
      <c r="L494" s="15">
        <f t="shared" si="204"/>
        <v>50011.745</v>
      </c>
      <c r="M494" s="15"/>
      <c r="N494" s="15">
        <f>N415</f>
        <v>1122114.355</v>
      </c>
      <c r="O494" s="15">
        <f>O415</f>
        <v>986102.9195000001</v>
      </c>
      <c r="P494" s="15"/>
      <c r="Q494" s="20" t="s">
        <v>44</v>
      </c>
      <c r="R494" s="15"/>
      <c r="S494" s="76">
        <f>S415</f>
        <v>252223</v>
      </c>
      <c r="T494" s="15">
        <f>T415</f>
        <v>25224</v>
      </c>
      <c r="U494" s="15">
        <f>U415</f>
        <v>277447</v>
      </c>
      <c r="V494" s="15"/>
      <c r="W494" s="15"/>
      <c r="X494" s="15">
        <f>X415</f>
        <v>252223</v>
      </c>
      <c r="Y494" s="15">
        <f>Y415</f>
        <v>259834</v>
      </c>
      <c r="Z494" s="15">
        <f>Z415</f>
        <v>252229</v>
      </c>
      <c r="AA494" s="15">
        <f>AA415</f>
        <v>245360</v>
      </c>
      <c r="AB494" s="15">
        <f>AB415</f>
        <v>238573</v>
      </c>
      <c r="AC494" s="15">
        <f t="shared" si="197"/>
        <v>6869</v>
      </c>
      <c r="AD494" s="1"/>
      <c r="AE494" s="1"/>
      <c r="AF494" s="1"/>
      <c r="AG494" s="15"/>
      <c r="AH494" s="15"/>
    </row>
    <row r="495" spans="1:34" ht="21">
      <c r="A495" s="15" t="s">
        <v>176</v>
      </c>
      <c r="B495" s="15"/>
      <c r="C495" s="15">
        <f>C457</f>
        <v>2019740.76</v>
      </c>
      <c r="D495" s="15">
        <f>D457</f>
        <v>11109.8</v>
      </c>
      <c r="E495" s="15">
        <f>E457</f>
        <v>2030850.56</v>
      </c>
      <c r="F495" s="15"/>
      <c r="G495" s="15">
        <f aca="true" t="shared" si="205" ref="G495:L495">G457</f>
        <v>0</v>
      </c>
      <c r="H495" s="15">
        <f t="shared" si="205"/>
        <v>167378.22999999998</v>
      </c>
      <c r="I495" s="15">
        <f t="shared" si="205"/>
        <v>83689.11499999999</v>
      </c>
      <c r="J495" s="15">
        <f t="shared" si="205"/>
        <v>42525</v>
      </c>
      <c r="K495" s="15">
        <f t="shared" si="205"/>
        <v>10631.25</v>
      </c>
      <c r="L495" s="15">
        <f t="shared" si="205"/>
        <v>94320.36499999999</v>
      </c>
      <c r="M495" s="15"/>
      <c r="N495" s="15">
        <f>N457</f>
        <v>1936530.195</v>
      </c>
      <c r="O495" s="15">
        <f>O457</f>
        <v>1723277.1755</v>
      </c>
      <c r="P495" s="15"/>
      <c r="Q495" s="20" t="s">
        <v>44</v>
      </c>
      <c r="R495" s="15"/>
      <c r="S495" s="76">
        <f>S457</f>
        <v>440774</v>
      </c>
      <c r="T495" s="15">
        <f>T457</f>
        <v>44077</v>
      </c>
      <c r="U495" s="15">
        <f>U457</f>
        <v>484851</v>
      </c>
      <c r="V495" s="15"/>
      <c r="W495" s="68"/>
      <c r="X495" s="15">
        <f>X457</f>
        <v>440774</v>
      </c>
      <c r="Y495" s="15">
        <f>Y457</f>
        <v>421071</v>
      </c>
      <c r="Z495" s="15">
        <f>Z457</f>
        <v>416197</v>
      </c>
      <c r="AA495" s="15">
        <f>AA457</f>
        <v>394719</v>
      </c>
      <c r="AB495" s="15">
        <f>AB457</f>
        <v>406113</v>
      </c>
      <c r="AC495" s="15">
        <f t="shared" si="197"/>
        <v>21478</v>
      </c>
      <c r="AD495" s="1"/>
      <c r="AE495" s="1"/>
      <c r="AF495" s="1"/>
      <c r="AG495" s="15"/>
      <c r="AH495" s="15"/>
    </row>
    <row r="496" spans="1:34" ht="21">
      <c r="A496" s="15" t="s">
        <v>177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76"/>
      <c r="T496" s="15"/>
      <c r="U496" s="15"/>
      <c r="V496" s="15"/>
      <c r="W496" s="15"/>
      <c r="X496" s="15"/>
      <c r="Y496" s="1"/>
      <c r="Z496" s="1"/>
      <c r="AA496" s="1"/>
      <c r="AB496" s="1"/>
      <c r="AC496" s="1"/>
      <c r="AD496" s="1"/>
      <c r="AE496" s="1"/>
      <c r="AF496" s="1"/>
      <c r="AG496" s="15"/>
      <c r="AH496" s="15"/>
    </row>
    <row r="497" spans="1:34" ht="21">
      <c r="A497" s="19" t="s">
        <v>3</v>
      </c>
      <c r="B497" s="19" t="s">
        <v>3</v>
      </c>
      <c r="C497" s="19" t="s">
        <v>3</v>
      </c>
      <c r="D497" s="19" t="s">
        <v>3</v>
      </c>
      <c r="E497" s="19" t="s">
        <v>3</v>
      </c>
      <c r="F497" s="19" t="s">
        <v>3</v>
      </c>
      <c r="G497" s="19"/>
      <c r="H497" s="19" t="s">
        <v>3</v>
      </c>
      <c r="I497" s="19" t="s">
        <v>3</v>
      </c>
      <c r="J497" s="19" t="s">
        <v>3</v>
      </c>
      <c r="K497" s="19" t="s">
        <v>3</v>
      </c>
      <c r="L497" s="19" t="s">
        <v>3</v>
      </c>
      <c r="M497" s="19" t="s">
        <v>3</v>
      </c>
      <c r="N497" s="19" t="s">
        <v>3</v>
      </c>
      <c r="O497" s="19" t="s">
        <v>3</v>
      </c>
      <c r="P497" s="19" t="s">
        <v>3</v>
      </c>
      <c r="Q497" s="15"/>
      <c r="R497" s="19" t="s">
        <v>3</v>
      </c>
      <c r="S497" s="78" t="s">
        <v>3</v>
      </c>
      <c r="T497" s="19" t="s">
        <v>3</v>
      </c>
      <c r="U497" s="19" t="s">
        <v>3</v>
      </c>
      <c r="V497" s="19" t="s">
        <v>3</v>
      </c>
      <c r="W497" s="15"/>
      <c r="X497" s="15"/>
      <c r="Y497" s="1"/>
      <c r="Z497" s="1"/>
      <c r="AA497" s="1"/>
      <c r="AB497" s="1"/>
      <c r="AC497" s="1"/>
      <c r="AD497" s="1"/>
      <c r="AE497" s="1"/>
      <c r="AF497" s="1"/>
      <c r="AG497" s="15"/>
      <c r="AH497" s="15"/>
    </row>
    <row r="498" spans="1:34" ht="21">
      <c r="A498" s="15" t="s">
        <v>178</v>
      </c>
      <c r="B498" s="15"/>
      <c r="C498" s="15">
        <f>SUM(C485:C497)</f>
        <v>14239196.41</v>
      </c>
      <c r="D498" s="15">
        <f>SUM(D485:D497)</f>
        <v>24375.298</v>
      </c>
      <c r="E498" s="15">
        <f>SUM(E485:E497)</f>
        <v>14263571.708</v>
      </c>
      <c r="F498" s="15"/>
      <c r="G498" s="15">
        <f aca="true" t="shared" si="206" ref="G498:L498">SUM(G485:G497)</f>
        <v>21558.46</v>
      </c>
      <c r="H498" s="15">
        <f t="shared" si="206"/>
        <v>1187973.58</v>
      </c>
      <c r="I498" s="15">
        <f t="shared" si="206"/>
        <v>593986.79</v>
      </c>
      <c r="J498" s="15">
        <f t="shared" si="206"/>
        <v>204662.88</v>
      </c>
      <c r="K498" s="15">
        <f t="shared" si="206"/>
        <v>51165.72</v>
      </c>
      <c r="L498" s="15">
        <f t="shared" si="206"/>
        <v>666710.9700000001</v>
      </c>
      <c r="M498" s="15"/>
      <c r="N498" s="15">
        <f>SUM(N485:N497)</f>
        <v>13596860.738</v>
      </c>
      <c r="O498" s="15">
        <f>SUM(O485:O497)</f>
        <v>12033146.464200001</v>
      </c>
      <c r="P498" s="15"/>
      <c r="Q498" s="18" t="s">
        <v>49</v>
      </c>
      <c r="R498" s="15"/>
      <c r="S498" s="76">
        <f>SUM(S485:S497)</f>
        <v>3077803</v>
      </c>
      <c r="T498" s="15">
        <f>SUM(T485:T497)</f>
        <v>307785</v>
      </c>
      <c r="U498" s="15">
        <f>SUM(U485:U497)</f>
        <v>3385588</v>
      </c>
      <c r="V498" s="15"/>
      <c r="W498" s="15"/>
      <c r="X498" s="97">
        <f aca="true" t="shared" si="207" ref="X498:AC498">SUM(X486:X497)</f>
        <v>3077803</v>
      </c>
      <c r="Y498" s="97">
        <f t="shared" si="207"/>
        <v>3111123</v>
      </c>
      <c r="Z498" s="97">
        <f t="shared" si="207"/>
        <v>3127025</v>
      </c>
      <c r="AA498" s="97">
        <f t="shared" si="207"/>
        <v>3075721</v>
      </c>
      <c r="AB498" s="97">
        <f t="shared" si="207"/>
        <v>3033403</v>
      </c>
      <c r="AC498" s="97">
        <f t="shared" si="207"/>
        <v>51304</v>
      </c>
      <c r="AD498" s="1"/>
      <c r="AE498" s="1"/>
      <c r="AF498" s="1"/>
      <c r="AG498" s="15"/>
      <c r="AH498" s="15"/>
    </row>
    <row r="499" spans="1:34" ht="21">
      <c r="A499" s="19" t="s">
        <v>179</v>
      </c>
      <c r="B499" s="19" t="s">
        <v>179</v>
      </c>
      <c r="C499" s="19" t="s">
        <v>179</v>
      </c>
      <c r="D499" s="19" t="s">
        <v>179</v>
      </c>
      <c r="E499" s="19" t="s">
        <v>179</v>
      </c>
      <c r="F499" s="19" t="s">
        <v>179</v>
      </c>
      <c r="G499" s="19"/>
      <c r="H499" s="19" t="s">
        <v>179</v>
      </c>
      <c r="I499" s="19" t="s">
        <v>179</v>
      </c>
      <c r="J499" s="19" t="s">
        <v>179</v>
      </c>
      <c r="K499" s="19" t="s">
        <v>179</v>
      </c>
      <c r="L499" s="19" t="s">
        <v>179</v>
      </c>
      <c r="M499" s="19" t="s">
        <v>179</v>
      </c>
      <c r="N499" s="19" t="s">
        <v>179</v>
      </c>
      <c r="O499" s="19" t="s">
        <v>179</v>
      </c>
      <c r="P499" s="19" t="s">
        <v>179</v>
      </c>
      <c r="Q499" s="15"/>
      <c r="R499" s="19" t="s">
        <v>179</v>
      </c>
      <c r="S499" s="78" t="s">
        <v>179</v>
      </c>
      <c r="T499" s="19" t="s">
        <v>179</v>
      </c>
      <c r="U499" s="19" t="s">
        <v>179</v>
      </c>
      <c r="V499" s="19" t="s">
        <v>179</v>
      </c>
      <c r="W499" s="15"/>
      <c r="X499" s="15"/>
      <c r="Y499" s="15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27" ht="2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79"/>
      <c r="T500" s="35"/>
      <c r="U500" s="35"/>
      <c r="V500" s="35"/>
      <c r="W500" s="35"/>
      <c r="X500" s="35"/>
      <c r="Y500" s="35"/>
      <c r="AA500" s="35" t="s">
        <v>403</v>
      </c>
    </row>
    <row r="501" spans="1:34" ht="2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 t="s">
        <v>180</v>
      </c>
      <c r="P501" s="15"/>
      <c r="Q501" s="15"/>
      <c r="R501" s="15"/>
      <c r="S501" s="76">
        <v>3077799</v>
      </c>
      <c r="T501" s="15"/>
      <c r="U501" s="15"/>
      <c r="V501" s="15"/>
      <c r="W501" s="15"/>
      <c r="X501" s="15"/>
      <c r="Y501" s="15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25" ht="2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79"/>
      <c r="T502" s="35"/>
      <c r="U502" s="35"/>
      <c r="V502" s="35"/>
      <c r="W502" s="35"/>
      <c r="X502" s="35"/>
      <c r="Y502" s="35"/>
    </row>
    <row r="503" spans="1:34" ht="21">
      <c r="A503" s="15" t="s">
        <v>61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76"/>
      <c r="T503" s="15"/>
      <c r="U503" s="15"/>
      <c r="V503" s="15"/>
      <c r="W503" s="15"/>
      <c r="X503" s="15"/>
      <c r="Y503" s="15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21">
      <c r="A504" s="15" t="s">
        <v>187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 t="s">
        <v>189</v>
      </c>
      <c r="M504" s="15"/>
      <c r="N504" s="15"/>
      <c r="O504" s="15"/>
      <c r="P504" s="15"/>
      <c r="Q504" s="15"/>
      <c r="R504" s="15"/>
      <c r="S504" s="76"/>
      <c r="T504" s="15"/>
      <c r="U504" s="15"/>
      <c r="V504" s="15"/>
      <c r="W504" s="15"/>
      <c r="X504" s="15"/>
      <c r="Y504" s="15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21">
      <c r="A505" s="15" t="s">
        <v>63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52" t="s">
        <v>224</v>
      </c>
      <c r="M505" s="15"/>
      <c r="N505" s="15"/>
      <c r="O505" s="15"/>
      <c r="P505" s="15"/>
      <c r="Q505" s="15"/>
      <c r="R505" s="15"/>
      <c r="S505" s="76"/>
      <c r="T505" s="15"/>
      <c r="U505" s="15"/>
      <c r="V505" s="15"/>
      <c r="W505" s="15"/>
      <c r="X505" s="15"/>
      <c r="Y505" s="15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25" ht="2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79"/>
      <c r="T506" s="35"/>
      <c r="U506" s="35"/>
      <c r="V506" s="35"/>
      <c r="W506" s="35"/>
      <c r="X506" s="35"/>
      <c r="Y506" s="35"/>
    </row>
    <row r="507" spans="1:34" ht="21">
      <c r="A507" s="15" t="s">
        <v>64</v>
      </c>
      <c r="B507" s="15"/>
      <c r="C507" s="15"/>
      <c r="D507" s="15" t="s">
        <v>65</v>
      </c>
      <c r="E507" s="15"/>
      <c r="F507" s="15"/>
      <c r="G507" s="15"/>
      <c r="H507" s="15"/>
      <c r="I507" s="15"/>
      <c r="J507" s="15"/>
      <c r="K507" s="15"/>
      <c r="L507" s="15" t="s">
        <v>66</v>
      </c>
      <c r="M507" s="15"/>
      <c r="N507" s="15"/>
      <c r="O507" s="15"/>
      <c r="P507" s="15"/>
      <c r="Q507" s="15"/>
      <c r="R507" s="15"/>
      <c r="S507" s="76"/>
      <c r="T507" s="15"/>
      <c r="U507" s="15"/>
      <c r="V507" s="15"/>
      <c r="W507" s="15"/>
      <c r="X507" s="15"/>
      <c r="Y507" s="15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21">
      <c r="A508" s="19" t="s">
        <v>3</v>
      </c>
      <c r="B508" s="15"/>
      <c r="C508" s="15"/>
      <c r="D508" s="19" t="s">
        <v>3</v>
      </c>
      <c r="E508" s="19" t="s">
        <v>3</v>
      </c>
      <c r="F508" s="15"/>
      <c r="G508" s="15"/>
      <c r="H508" s="15"/>
      <c r="I508" s="15"/>
      <c r="J508" s="15"/>
      <c r="K508" s="15"/>
      <c r="L508" s="15" t="s">
        <v>67</v>
      </c>
      <c r="M508" s="15"/>
      <c r="N508" s="15"/>
      <c r="O508" s="15"/>
      <c r="P508" s="15"/>
      <c r="Q508" s="15"/>
      <c r="R508" s="15"/>
      <c r="S508" s="76"/>
      <c r="T508" s="15"/>
      <c r="U508" s="15"/>
      <c r="V508" s="15"/>
      <c r="W508" s="15"/>
      <c r="X508" s="15"/>
      <c r="Y508" s="15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21">
      <c r="A509" s="15" t="s">
        <v>68</v>
      </c>
      <c r="B509" s="15"/>
      <c r="C509" s="15"/>
      <c r="D509" s="15" t="s">
        <v>69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76"/>
      <c r="T509" s="15"/>
      <c r="U509" s="15"/>
      <c r="V509" s="15"/>
      <c r="W509" s="15"/>
      <c r="X509" s="15"/>
      <c r="Y509" s="15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21">
      <c r="A510" s="15" t="s">
        <v>70</v>
      </c>
      <c r="B510" s="15"/>
      <c r="C510" s="15"/>
      <c r="D510" s="15" t="s">
        <v>71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76"/>
      <c r="T510" s="15"/>
      <c r="U510" s="15"/>
      <c r="V510" s="15"/>
      <c r="W510" s="15"/>
      <c r="X510" s="15"/>
      <c r="Y510" s="15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21">
      <c r="A511" s="15" t="s">
        <v>72</v>
      </c>
      <c r="B511" s="15"/>
      <c r="C511" s="15"/>
      <c r="D511" s="15" t="s">
        <v>73</v>
      </c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76"/>
      <c r="T511" s="15"/>
      <c r="U511" s="15"/>
      <c r="V511" s="15"/>
      <c r="W511" s="15"/>
      <c r="X511" s="15"/>
      <c r="Y511" s="15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21">
      <c r="A512" s="15" t="s">
        <v>74</v>
      </c>
      <c r="B512" s="15"/>
      <c r="C512" s="15"/>
      <c r="D512" s="15" t="s">
        <v>75</v>
      </c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76"/>
      <c r="T512" s="15"/>
      <c r="U512" s="15"/>
      <c r="V512" s="15"/>
      <c r="W512" s="15"/>
      <c r="X512" s="15"/>
      <c r="Y512" s="15"/>
      <c r="Z512" s="1"/>
      <c r="AA512" s="1"/>
      <c r="AB512" s="1"/>
      <c r="AC512" s="1"/>
      <c r="AD512" s="1"/>
      <c r="AE512" s="1"/>
      <c r="AF512" s="1"/>
      <c r="AG512" s="1"/>
      <c r="AH512" s="1"/>
    </row>
  </sheetData>
  <sheetProtection/>
  <printOptions/>
  <pageMargins left="0.25" right="0.25" top="0.75" bottom="0.75" header="0.3" footer="0.3"/>
  <pageSetup horizontalDpi="600" verticalDpi="600" orientation="landscape" paperSize="5" scale="45" r:id="rId1"/>
  <rowBreaks count="11" manualBreakCount="11">
    <brk id="26" max="21" man="1"/>
    <brk id="72" max="21" man="1"/>
    <brk id="113" max="21" man="1"/>
    <brk id="161" max="21" man="1"/>
    <brk id="206" max="21" man="1"/>
    <brk id="248" max="21" man="1"/>
    <brk id="292" max="21" man="1"/>
    <brk id="343" max="21" man="1"/>
    <brk id="385" max="21" man="1"/>
    <brk id="430" max="21" man="1"/>
    <brk id="47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8.88671875" defaultRowHeight="15.75"/>
  <cols>
    <col min="2" max="2" width="8.886718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Huron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Vallis</dc:creator>
  <cp:keywords/>
  <dc:description/>
  <cp:lastModifiedBy>Davor Milicevic</cp:lastModifiedBy>
  <cp:lastPrinted>2013-05-31T14:07:51Z</cp:lastPrinted>
  <dcterms:created xsi:type="dcterms:W3CDTF">1997-09-10T19:32:05Z</dcterms:created>
  <dcterms:modified xsi:type="dcterms:W3CDTF">2021-11-09T13:51:20Z</dcterms:modified>
  <cp:category/>
  <cp:version/>
  <cp:contentType/>
  <cp:contentStatus/>
</cp:coreProperties>
</file>